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Povýstavní katalog" sheetId="3" r:id="rId1"/>
    <sheet name="Souhrn" sheetId="1" r:id="rId2"/>
    <sheet name="CSV" sheetId="2" r:id="rId3"/>
  </sheets>
  <calcPr calcId="124519"/>
</workbook>
</file>

<file path=xl/calcChain.xml><?xml version="1.0" encoding="utf-8"?>
<calcChain xmlns="http://schemas.openxmlformats.org/spreadsheetml/2006/main">
  <c r="A93" i="3"/>
  <c r="A81"/>
  <c r="A68"/>
  <c r="A58"/>
  <c r="A39"/>
  <c r="A13"/>
  <c r="A26"/>
  <c r="F95"/>
  <c r="A91" s="1"/>
  <c r="D95"/>
  <c r="C95"/>
  <c r="B95"/>
  <c r="A95"/>
  <c r="F89"/>
  <c r="D89"/>
  <c r="C89"/>
  <c r="B89"/>
  <c r="A89"/>
  <c r="F88"/>
  <c r="D88"/>
  <c r="C88"/>
  <c r="B88"/>
  <c r="A88"/>
  <c r="F87"/>
  <c r="D87"/>
  <c r="C87"/>
  <c r="B87"/>
  <c r="A87"/>
  <c r="F86"/>
  <c r="D86"/>
  <c r="C86"/>
  <c r="B86"/>
  <c r="A86"/>
  <c r="F85"/>
  <c r="D85"/>
  <c r="C85"/>
  <c r="B85"/>
  <c r="A85"/>
  <c r="F84"/>
  <c r="D84"/>
  <c r="C84"/>
  <c r="B84"/>
  <c r="A84"/>
  <c r="F83"/>
  <c r="A79" s="1"/>
  <c r="D83"/>
  <c r="C83"/>
  <c r="B83"/>
  <c r="A83"/>
  <c r="F77"/>
  <c r="D77"/>
  <c r="C77"/>
  <c r="B77"/>
  <c r="D103" s="1"/>
  <c r="A77"/>
  <c r="F76"/>
  <c r="D76"/>
  <c r="C76"/>
  <c r="B76"/>
  <c r="A76"/>
  <c r="F75"/>
  <c r="D75"/>
  <c r="C75"/>
  <c r="B75"/>
  <c r="A75"/>
  <c r="F74"/>
  <c r="D74"/>
  <c r="C74"/>
  <c r="B74"/>
  <c r="A74"/>
  <c r="F73"/>
  <c r="D73"/>
  <c r="C73"/>
  <c r="B73"/>
  <c r="A73"/>
  <c r="F72"/>
  <c r="D72"/>
  <c r="C72"/>
  <c r="B72"/>
  <c r="A72"/>
  <c r="F71"/>
  <c r="D71"/>
  <c r="C71"/>
  <c r="B71"/>
  <c r="A71"/>
  <c r="F70"/>
  <c r="A66" s="1"/>
  <c r="D70"/>
  <c r="C70"/>
  <c r="B70"/>
  <c r="A70"/>
  <c r="F64"/>
  <c r="D64"/>
  <c r="C64"/>
  <c r="B64"/>
  <c r="A64"/>
  <c r="F63"/>
  <c r="D63"/>
  <c r="C63"/>
  <c r="B63"/>
  <c r="A63"/>
  <c r="F62"/>
  <c r="D62"/>
  <c r="C62"/>
  <c r="B62"/>
  <c r="A62"/>
  <c r="F61"/>
  <c r="D61"/>
  <c r="C61"/>
  <c r="B61"/>
  <c r="A61"/>
  <c r="F60"/>
  <c r="A56" s="1"/>
  <c r="D60"/>
  <c r="C60"/>
  <c r="B60"/>
  <c r="A60"/>
  <c r="F54"/>
  <c r="D54"/>
  <c r="C54"/>
  <c r="B54"/>
  <c r="A54"/>
  <c r="F53"/>
  <c r="D53"/>
  <c r="C53"/>
  <c r="B53"/>
  <c r="A53"/>
  <c r="F52"/>
  <c r="D52"/>
  <c r="C52"/>
  <c r="B52"/>
  <c r="A52"/>
  <c r="F51"/>
  <c r="D51"/>
  <c r="C51"/>
  <c r="B51"/>
  <c r="A51"/>
  <c r="F50"/>
  <c r="D50"/>
  <c r="C50"/>
  <c r="B50"/>
  <c r="A50"/>
  <c r="F49"/>
  <c r="D49"/>
  <c r="C49"/>
  <c r="B49"/>
  <c r="A49"/>
  <c r="F48"/>
  <c r="D48"/>
  <c r="C48"/>
  <c r="B48"/>
  <c r="A48"/>
  <c r="F47"/>
  <c r="D47"/>
  <c r="C47"/>
  <c r="B47"/>
  <c r="A47"/>
  <c r="F46"/>
  <c r="D46"/>
  <c r="C46"/>
  <c r="B46"/>
  <c r="A46"/>
  <c r="F45"/>
  <c r="D45"/>
  <c r="C45"/>
  <c r="B45"/>
  <c r="A45"/>
  <c r="F44"/>
  <c r="D44"/>
  <c r="C44"/>
  <c r="B44"/>
  <c r="A44"/>
  <c r="F43"/>
  <c r="D43"/>
  <c r="C43"/>
  <c r="B43"/>
  <c r="A43"/>
  <c r="F42"/>
  <c r="D42"/>
  <c r="C42"/>
  <c r="B42"/>
  <c r="A42"/>
  <c r="F41"/>
  <c r="A37" s="1"/>
  <c r="D41"/>
  <c r="C41"/>
  <c r="B41"/>
  <c r="A41"/>
  <c r="F35"/>
  <c r="D35"/>
  <c r="C35"/>
  <c r="B35"/>
  <c r="A35"/>
  <c r="F34"/>
  <c r="D34"/>
  <c r="C34"/>
  <c r="B34"/>
  <c r="A34"/>
  <c r="F33"/>
  <c r="D33"/>
  <c r="C33"/>
  <c r="B33"/>
  <c r="A33"/>
  <c r="F32"/>
  <c r="D32"/>
  <c r="C32"/>
  <c r="B32"/>
  <c r="A32"/>
  <c r="F31"/>
  <c r="D31"/>
  <c r="C31"/>
  <c r="B31"/>
  <c r="A31"/>
  <c r="F30"/>
  <c r="D30"/>
  <c r="C30"/>
  <c r="B30"/>
  <c r="A30"/>
  <c r="F29"/>
  <c r="D29"/>
  <c r="C29"/>
  <c r="B29"/>
  <c r="A29"/>
  <c r="F28"/>
  <c r="A24" s="1"/>
  <c r="D28"/>
  <c r="C28"/>
  <c r="B28"/>
  <c r="A28"/>
  <c r="F22"/>
  <c r="D22"/>
  <c r="C22"/>
  <c r="B22"/>
  <c r="A22"/>
  <c r="F21"/>
  <c r="D21"/>
  <c r="C21"/>
  <c r="B21"/>
  <c r="A21"/>
  <c r="F20"/>
  <c r="D20"/>
  <c r="C20"/>
  <c r="B20"/>
  <c r="A20"/>
  <c r="F19"/>
  <c r="D19"/>
  <c r="C19"/>
  <c r="B19"/>
  <c r="A19"/>
  <c r="F18"/>
  <c r="D18"/>
  <c r="C18"/>
  <c r="B18"/>
  <c r="A18"/>
  <c r="F17"/>
  <c r="D17"/>
  <c r="C17"/>
  <c r="B17"/>
  <c r="A17"/>
  <c r="F16"/>
  <c r="D16"/>
  <c r="C16"/>
  <c r="B16"/>
  <c r="A16"/>
  <c r="F15"/>
  <c r="A11" s="1"/>
  <c r="D15"/>
  <c r="C15"/>
  <c r="B15"/>
  <c r="A15"/>
  <c r="F9"/>
  <c r="A5" s="1"/>
  <c r="D9"/>
  <c r="C9"/>
  <c r="B9"/>
  <c r="A9"/>
  <c r="A7"/>
  <c r="A48" i="1"/>
  <c r="B48"/>
  <c r="C48"/>
  <c r="D48"/>
  <c r="F48"/>
  <c r="A49"/>
  <c r="B49"/>
  <c r="C49"/>
  <c r="D49"/>
  <c r="F49"/>
  <c r="A50"/>
  <c r="B50"/>
  <c r="C50"/>
  <c r="D50"/>
  <c r="F50"/>
  <c r="A51"/>
  <c r="B51"/>
  <c r="C51"/>
  <c r="D51"/>
  <c r="F51"/>
  <c r="A52"/>
  <c r="B52"/>
  <c r="C52"/>
  <c r="D52"/>
  <c r="F52"/>
  <c r="A53"/>
  <c r="B53"/>
  <c r="C53"/>
  <c r="D53"/>
  <c r="F53"/>
  <c r="A54"/>
  <c r="B54"/>
  <c r="C54"/>
  <c r="D54"/>
  <c r="F54"/>
  <c r="A55"/>
  <c r="B55"/>
  <c r="C55"/>
  <c r="D55"/>
  <c r="F55"/>
  <c r="A56"/>
  <c r="B56"/>
  <c r="C56"/>
  <c r="D56"/>
  <c r="F56"/>
  <c r="A57"/>
  <c r="B57"/>
  <c r="C57"/>
  <c r="D57"/>
  <c r="F57"/>
  <c r="A58"/>
  <c r="B58"/>
  <c r="C58"/>
  <c r="D58"/>
  <c r="F58"/>
  <c r="A59"/>
  <c r="B59"/>
  <c r="C59"/>
  <c r="D59"/>
  <c r="F59"/>
  <c r="A60"/>
  <c r="B60"/>
  <c r="C60"/>
  <c r="D60"/>
  <c r="F60"/>
  <c r="A12"/>
  <c r="B12"/>
  <c r="C12"/>
  <c r="D12"/>
  <c r="F12"/>
  <c r="A13"/>
  <c r="B13"/>
  <c r="C13"/>
  <c r="D13"/>
  <c r="F13"/>
  <c r="A14"/>
  <c r="B14"/>
  <c r="C14"/>
  <c r="D14"/>
  <c r="F14"/>
  <c r="A15"/>
  <c r="B15"/>
  <c r="C15"/>
  <c r="D15"/>
  <c r="F15"/>
  <c r="A16"/>
  <c r="B16"/>
  <c r="C16"/>
  <c r="D16"/>
  <c r="F16"/>
  <c r="A17"/>
  <c r="B17"/>
  <c r="C17"/>
  <c r="D17"/>
  <c r="F17"/>
  <c r="A18"/>
  <c r="B18"/>
  <c r="C18"/>
  <c r="D18"/>
  <c r="F18"/>
  <c r="A19"/>
  <c r="B19"/>
  <c r="C19"/>
  <c r="D19"/>
  <c r="F19"/>
  <c r="A20"/>
  <c r="B20"/>
  <c r="C20"/>
  <c r="D20"/>
  <c r="F20"/>
  <c r="A21"/>
  <c r="B21"/>
  <c r="C21"/>
  <c r="D21"/>
  <c r="F21"/>
  <c r="A22"/>
  <c r="B22"/>
  <c r="C22"/>
  <c r="D22"/>
  <c r="F22"/>
  <c r="A23"/>
  <c r="B23"/>
  <c r="C23"/>
  <c r="D23"/>
  <c r="F23"/>
  <c r="A24"/>
  <c r="B24"/>
  <c r="C24"/>
  <c r="D24"/>
  <c r="F24"/>
  <c r="A25"/>
  <c r="B25"/>
  <c r="C25"/>
  <c r="D25"/>
  <c r="F25"/>
  <c r="A26"/>
  <c r="B26"/>
  <c r="C26"/>
  <c r="D26"/>
  <c r="F26"/>
  <c r="A27"/>
  <c r="B27"/>
  <c r="C27"/>
  <c r="D27"/>
  <c r="F27"/>
  <c r="A28"/>
  <c r="B28"/>
  <c r="C28"/>
  <c r="D28"/>
  <c r="F28"/>
  <c r="A29"/>
  <c r="B29"/>
  <c r="C29"/>
  <c r="D29"/>
  <c r="F29"/>
  <c r="A30"/>
  <c r="B30"/>
  <c r="C30"/>
  <c r="D30"/>
  <c r="F30"/>
  <c r="A31"/>
  <c r="B31"/>
  <c r="C31"/>
  <c r="D31"/>
  <c r="F31"/>
  <c r="A32"/>
  <c r="B32"/>
  <c r="C32"/>
  <c r="D32"/>
  <c r="F32"/>
  <c r="A33"/>
  <c r="B33"/>
  <c r="C33"/>
  <c r="D33"/>
  <c r="F33"/>
  <c r="A34"/>
  <c r="B34"/>
  <c r="C34"/>
  <c r="D34"/>
  <c r="F34"/>
  <c r="A35"/>
  <c r="B35"/>
  <c r="C35"/>
  <c r="D35"/>
  <c r="F35"/>
  <c r="A36"/>
  <c r="B36"/>
  <c r="C36"/>
  <c r="D36"/>
  <c r="F36"/>
  <c r="A37"/>
  <c r="B37"/>
  <c r="C37"/>
  <c r="D37"/>
  <c r="F37"/>
  <c r="A38"/>
  <c r="B38"/>
  <c r="C38"/>
  <c r="D38"/>
  <c r="F38"/>
  <c r="A39"/>
  <c r="B39"/>
  <c r="C39"/>
  <c r="D39"/>
  <c r="F39"/>
  <c r="A40"/>
  <c r="B40"/>
  <c r="C40"/>
  <c r="D40"/>
  <c r="F40"/>
  <c r="A41"/>
  <c r="B41"/>
  <c r="C41"/>
  <c r="D41"/>
  <c r="F41"/>
  <c r="A42"/>
  <c r="B42"/>
  <c r="C42"/>
  <c r="D42"/>
  <c r="F42"/>
  <c r="A43"/>
  <c r="B43"/>
  <c r="C43"/>
  <c r="D43"/>
  <c r="F43"/>
  <c r="A44"/>
  <c r="B44"/>
  <c r="C44"/>
  <c r="D44"/>
  <c r="F44"/>
  <c r="A45"/>
  <c r="B45"/>
  <c r="C45"/>
  <c r="D45"/>
  <c r="F45"/>
  <c r="A46"/>
  <c r="B46"/>
  <c r="C46"/>
  <c r="D46"/>
  <c r="F46"/>
  <c r="A47"/>
  <c r="B47"/>
  <c r="C47"/>
  <c r="D47"/>
  <c r="F47"/>
  <c r="F11"/>
  <c r="D11"/>
  <c r="C11"/>
  <c r="B11"/>
  <c r="A11"/>
  <c r="A10"/>
  <c r="B10"/>
  <c r="C10"/>
  <c r="D10"/>
  <c r="F10"/>
  <c r="A9"/>
  <c r="B9"/>
  <c r="F9"/>
  <c r="A7"/>
  <c r="D9"/>
  <c r="C9"/>
  <c r="AK53" i="2"/>
  <c r="AJ53"/>
  <c r="AK52"/>
  <c r="AJ52"/>
  <c r="AK51"/>
  <c r="AJ51"/>
  <c r="AK50"/>
  <c r="AJ50"/>
  <c r="AK49"/>
  <c r="AJ49"/>
  <c r="AK48"/>
  <c r="AJ48"/>
  <c r="AK47"/>
  <c r="AJ47"/>
  <c r="AK46"/>
  <c r="AJ46"/>
  <c r="AK45"/>
  <c r="AJ45"/>
  <c r="AK44"/>
  <c r="AJ44"/>
  <c r="AK43"/>
  <c r="AJ43"/>
  <c r="AK42"/>
  <c r="AJ42"/>
  <c r="AK41"/>
  <c r="AJ41"/>
  <c r="AK40"/>
  <c r="AJ40"/>
  <c r="AK39"/>
  <c r="AJ39"/>
  <c r="AK38"/>
  <c r="AJ38"/>
  <c r="AK37"/>
  <c r="AJ37"/>
  <c r="AK36"/>
  <c r="AJ36"/>
  <c r="AK35"/>
  <c r="AJ35"/>
  <c r="AK34"/>
  <c r="AJ34"/>
  <c r="AK33"/>
  <c r="AJ33"/>
  <c r="AK32"/>
  <c r="AJ32"/>
  <c r="AK31"/>
  <c r="AJ31"/>
  <c r="AK30"/>
  <c r="AJ30"/>
  <c r="AK29"/>
  <c r="AJ29"/>
  <c r="AK28"/>
  <c r="AJ28"/>
  <c r="AK27"/>
  <c r="AJ27"/>
  <c r="AK26"/>
  <c r="AJ26"/>
  <c r="AK25"/>
  <c r="AJ25"/>
  <c r="AK24"/>
  <c r="AJ24"/>
  <c r="AK23"/>
  <c r="AJ23"/>
  <c r="AK22"/>
  <c r="AJ22"/>
  <c r="AK21"/>
  <c r="AJ21"/>
  <c r="AK20"/>
  <c r="AJ20"/>
  <c r="AK19"/>
  <c r="AJ19"/>
  <c r="AK18"/>
  <c r="AJ18"/>
  <c r="AK17"/>
  <c r="AJ17"/>
  <c r="AK16"/>
  <c r="AJ16"/>
  <c r="AK15"/>
  <c r="AJ15"/>
  <c r="AK14"/>
  <c r="AJ14"/>
  <c r="AK13"/>
  <c r="AJ13"/>
  <c r="AK12"/>
  <c r="AJ12"/>
  <c r="AK11"/>
  <c r="AJ11"/>
  <c r="AK10"/>
  <c r="AJ10"/>
  <c r="AK9"/>
  <c r="AJ9"/>
  <c r="AK8"/>
  <c r="AJ8"/>
  <c r="AK7"/>
  <c r="AJ7"/>
  <c r="AK6"/>
  <c r="AJ6"/>
  <c r="AK5"/>
  <c r="AJ5"/>
  <c r="AK4"/>
  <c r="AJ4"/>
  <c r="AK3"/>
  <c r="AJ3"/>
  <c r="AK2"/>
  <c r="AJ2"/>
  <c r="D102" i="3" l="1"/>
  <c r="D100"/>
  <c r="D104"/>
  <c r="D105"/>
  <c r="D99"/>
  <c r="D101"/>
</calcChain>
</file>

<file path=xl/sharedStrings.xml><?xml version="1.0" encoding="utf-8"?>
<sst xmlns="http://schemas.openxmlformats.org/spreadsheetml/2006/main" count="1391" uniqueCount="625">
  <si>
    <t xml:space="preserve">Kruh : 1 - Rozhodčí : </t>
  </si>
  <si>
    <t>Andrea Zaoralová</t>
  </si>
  <si>
    <t>Hodnocení</t>
  </si>
  <si>
    <t>Třída</t>
  </si>
  <si>
    <t>Jméno psa</t>
  </si>
  <si>
    <t>V3</t>
  </si>
  <si>
    <t>Třída mladých</t>
  </si>
  <si>
    <t>V2</t>
  </si>
  <si>
    <t>Shadow White de Pepa</t>
  </si>
  <si>
    <t>Mezitřída</t>
  </si>
  <si>
    <t>Třída otevřená</t>
  </si>
  <si>
    <t>Třída vítězů</t>
  </si>
  <si>
    <t>Monochrome</t>
  </si>
  <si>
    <t>z Devonu</t>
  </si>
  <si>
    <t>Grand Calvera</t>
  </si>
  <si>
    <t>z Agova dvora</t>
  </si>
  <si>
    <t>V1</t>
  </si>
  <si>
    <t>Třída čestná</t>
  </si>
  <si>
    <t>Whisper of Wind</t>
  </si>
  <si>
    <t>VD</t>
  </si>
  <si>
    <t>Třída veteránů</t>
  </si>
  <si>
    <t>VN1</t>
  </si>
  <si>
    <t>Třída štěňat</t>
  </si>
  <si>
    <t>VD2</t>
  </si>
  <si>
    <t>Androis</t>
  </si>
  <si>
    <t>Třída dorostu</t>
  </si>
  <si>
    <t>Aknara Black</t>
  </si>
  <si>
    <t>von der Satans Meute</t>
  </si>
  <si>
    <t>Astronaut</t>
  </si>
  <si>
    <t>z Penzionu Axa</t>
  </si>
  <si>
    <t>Hummergrey</t>
  </si>
  <si>
    <t>Adelle Silver Stone</t>
  </si>
  <si>
    <t>z Barokamu</t>
  </si>
  <si>
    <t>CHERNI STRAZHNIK</t>
  </si>
  <si>
    <t>od Dalajského potoka</t>
  </si>
  <si>
    <t>Fortuna Moravia</t>
  </si>
  <si>
    <t>Veselá kopa</t>
  </si>
  <si>
    <t>Alarm Beskyd</t>
  </si>
  <si>
    <t>Habrůvka</t>
  </si>
  <si>
    <t>Radinie</t>
  </si>
  <si>
    <t>Tender Savage</t>
  </si>
  <si>
    <t>Třída pracovní</t>
  </si>
  <si>
    <t>od Devíti vrb</t>
  </si>
  <si>
    <t>KNÍRAČ MALÝ BÍLÝ</t>
  </si>
  <si>
    <t>Kat.č.</t>
  </si>
  <si>
    <t>Absence</t>
  </si>
  <si>
    <t>VN1, Nejhezčí štěně</t>
  </si>
  <si>
    <t>VN1, Nejhezčí dorost</t>
  </si>
  <si>
    <t>POVÝSTAVNÍ KATALOG</t>
  </si>
  <si>
    <t>VÝSLEDKY SOUTĚŽÍ</t>
  </si>
  <si>
    <t>♂ King Diamond Dowry Style</t>
  </si>
  <si>
    <t>Nejhezčí štěně</t>
  </si>
  <si>
    <t>Nejhezčí dorost</t>
  </si>
  <si>
    <t>Nejhezčí mladý</t>
  </si>
  <si>
    <t>Nejhezčí veterán</t>
  </si>
  <si>
    <t>Nejhezčí třídy čestné</t>
  </si>
  <si>
    <t>Nejhezčí malý knírač</t>
  </si>
  <si>
    <t>Nejhezčí střední knírač</t>
  </si>
  <si>
    <t>Nejhezčí velký knírač</t>
  </si>
  <si>
    <t>Nejhezčí knírač výstavy</t>
  </si>
  <si>
    <t>♀ Molly Fortuna Moravia</t>
  </si>
  <si>
    <t>č.35</t>
  </si>
  <si>
    <t>č.90</t>
  </si>
  <si>
    <t>č.108</t>
  </si>
  <si>
    <t>č.89</t>
  </si>
  <si>
    <t>č.20</t>
  </si>
  <si>
    <t>č.41</t>
  </si>
  <si>
    <t>č.71</t>
  </si>
  <si>
    <t>č.114</t>
  </si>
  <si>
    <t>♀ Puma z Bedýnky</t>
  </si>
  <si>
    <t>♂ Darwin A Finta F Morava</t>
  </si>
  <si>
    <t>♂ Hypersonic Whisper of Wind</t>
  </si>
  <si>
    <t>♂ LEO YANK WILD RANE</t>
  </si>
  <si>
    <t>♂ Kai Black Grand Calvera</t>
  </si>
  <si>
    <t>♀ Jessie od Devíti vrb</t>
  </si>
  <si>
    <t>Na výstavě bylo prováděno testování na barvení srsti a všichni ocenění psi měli negativní výsledek.</t>
  </si>
  <si>
    <t>Oblastní klubové výstavy kníračů</t>
  </si>
  <si>
    <t>Brno - 17. září 2022</t>
  </si>
  <si>
    <t>Sort</t>
  </si>
  <si>
    <t>EventDate</t>
  </si>
  <si>
    <t>Cislo</t>
  </si>
  <si>
    <t>InterniCislo</t>
  </si>
  <si>
    <t>FciGroup</t>
  </si>
  <si>
    <t>SectionFciGroup</t>
  </si>
  <si>
    <t>SectionFciGroupRim</t>
  </si>
  <si>
    <t>IndivName</t>
  </si>
  <si>
    <t>IndivCHS</t>
  </si>
  <si>
    <t>RegNr</t>
  </si>
  <si>
    <t>ImportNr</t>
  </si>
  <si>
    <t>Birthday</t>
  </si>
  <si>
    <t>Father</t>
  </si>
  <si>
    <t>Mother</t>
  </si>
  <si>
    <t>Breeder</t>
  </si>
  <si>
    <t>Owner</t>
  </si>
  <si>
    <t>CoOwner</t>
  </si>
  <si>
    <t>Pohl</t>
  </si>
  <si>
    <t>Pohl_E</t>
  </si>
  <si>
    <t>Trida</t>
  </si>
  <si>
    <t>Trida_E</t>
  </si>
  <si>
    <t>plemeno</t>
  </si>
  <si>
    <t>plemeno_en</t>
  </si>
  <si>
    <t>nazev_cruft</t>
  </si>
  <si>
    <t>Kruh</t>
  </si>
  <si>
    <t>Rozhodci</t>
  </si>
  <si>
    <t>AdresaOwner</t>
  </si>
  <si>
    <t>status_registrace</t>
  </si>
  <si>
    <t>druh_platby</t>
  </si>
  <si>
    <t>saldo</t>
  </si>
  <si>
    <t>pozn_neposila_se</t>
  </si>
  <si>
    <t>state</t>
  </si>
  <si>
    <t>pohl_jednotne</t>
  </si>
  <si>
    <t>ulice</t>
  </si>
  <si>
    <t>mesto</t>
  </si>
  <si>
    <t>psc</t>
  </si>
  <si>
    <t>chip</t>
  </si>
  <si>
    <t>is_change_pjmeno_breeding_station</t>
  </si>
  <si>
    <t>individual</t>
  </si>
  <si>
    <t>II</t>
  </si>
  <si>
    <t>pinčové, knírači, plemena molossoidní a švýcarští salašničtí psi</t>
  </si>
  <si>
    <t>Umberta</t>
  </si>
  <si>
    <t>CMKU/KM/12802/21</t>
  </si>
  <si>
    <t>Sherwood  Larigosh</t>
  </si>
  <si>
    <t>I Am Olivia  Larigosh</t>
  </si>
  <si>
    <t xml:space="preserve"> Iva Šichnárková </t>
  </si>
  <si>
    <t>Helena Ptáčková</t>
  </si>
  <si>
    <t>feny</t>
  </si>
  <si>
    <t>female</t>
  </si>
  <si>
    <t>Intermediate Class</t>
  </si>
  <si>
    <t>Knírač malý - bílý</t>
  </si>
  <si>
    <t>Zwergschnauzer Weiss</t>
  </si>
  <si>
    <t xml:space="preserve">Ing. Danuše Kotalová </t>
  </si>
  <si>
    <t>Sadová 336, 67904 Adamov, Česká republika</t>
  </si>
  <si>
    <t>Přijatá</t>
  </si>
  <si>
    <t>Česká republika</t>
  </si>
  <si>
    <t>fena</t>
  </si>
  <si>
    <t>Sadová 336</t>
  </si>
  <si>
    <t>Adamov</t>
  </si>
  <si>
    <t>Umberta  Shadow White de Pepa</t>
  </si>
  <si>
    <t>Amor</t>
  </si>
  <si>
    <t>z Kralické tiskárny</t>
  </si>
  <si>
    <t>CMKU/KM/13385/22</t>
  </si>
  <si>
    <t>Drak Bohemia Vulkan</t>
  </si>
  <si>
    <t>Agnes  Černý medvídek</t>
  </si>
  <si>
    <t xml:space="preserve"> Adolf Jašek </t>
  </si>
  <si>
    <t>Monika Zhřívalová</t>
  </si>
  <si>
    <t>psi</t>
  </si>
  <si>
    <t>male</t>
  </si>
  <si>
    <t>Puppy Class</t>
  </si>
  <si>
    <t>Knírač malý - černostříbřitý</t>
  </si>
  <si>
    <t>Zwergschnauzer Schwarz-Silber</t>
  </si>
  <si>
    <t>Chaloupky 147, 66451 Jiříkovice , Česká republika</t>
  </si>
  <si>
    <t>pes</t>
  </si>
  <si>
    <t>Chaloupky 147</t>
  </si>
  <si>
    <t xml:space="preserve">Jiříkovice </t>
  </si>
  <si>
    <t>Amor z Kralické tiskárny</t>
  </si>
  <si>
    <t xml:space="preserve">Quick </t>
  </si>
  <si>
    <t>Loučeňská tvrz</t>
  </si>
  <si>
    <t>CMKU/KM/13047/21</t>
  </si>
  <si>
    <t xml:space="preserve">Chinon's Unconditional Joy </t>
  </si>
  <si>
    <t>Maidie  Loučeňská tvrz</t>
  </si>
  <si>
    <t xml:space="preserve">Ing. Kateřina Hlušičková </t>
  </si>
  <si>
    <t>Jana Mulíčková</t>
  </si>
  <si>
    <t>Junior Class</t>
  </si>
  <si>
    <t>Sadová 572, 66442 Modřice, Česká republika</t>
  </si>
  <si>
    <t>Sadová 572</t>
  </si>
  <si>
    <t>Modřice</t>
  </si>
  <si>
    <t>Quick   Loučeňská tvrz</t>
  </si>
  <si>
    <t>Mobby</t>
  </si>
  <si>
    <t>CMKU/KM/12955/21</t>
  </si>
  <si>
    <t>Cairo z Devonu</t>
  </si>
  <si>
    <t>Iaiko z Devonu</t>
  </si>
  <si>
    <t xml:space="preserve">Ing. Hana Popelková </t>
  </si>
  <si>
    <t>Jana Zahradníčková</t>
  </si>
  <si>
    <t>Sirotkova 10, 61600 Brno, Česká republika</t>
  </si>
  <si>
    <t>Sirotkova 10</t>
  </si>
  <si>
    <t>Brno</t>
  </si>
  <si>
    <t>Mobby z Devonu</t>
  </si>
  <si>
    <t xml:space="preserve">Bloom for Fatima </t>
  </si>
  <si>
    <t>CMKU/KM/12761/21</t>
  </si>
  <si>
    <t>Walker Rezlark  Santa Knyrys</t>
  </si>
  <si>
    <t>Fatima Ii  Rezlark</t>
  </si>
  <si>
    <t xml:space="preserve"> Lucie Běhalová </t>
  </si>
  <si>
    <t>Hana Popelková</t>
  </si>
  <si>
    <t>Winner Class</t>
  </si>
  <si>
    <t>Horní Palava 41, 67801 Blansko, Česká republika</t>
  </si>
  <si>
    <t>Horní Palava 41</t>
  </si>
  <si>
    <t>Blansko</t>
  </si>
  <si>
    <t>Bloom for Fatima   Monochrome</t>
  </si>
  <si>
    <t>Hypersonic</t>
  </si>
  <si>
    <t>CMKU/KM/10979/17/18</t>
  </si>
  <si>
    <t>Abye's Dream  Whisper of Wind</t>
  </si>
  <si>
    <t>Grasant  Whisper of Wind</t>
  </si>
  <si>
    <t>Hana Richter</t>
  </si>
  <si>
    <t>Honour Class</t>
  </si>
  <si>
    <t>Otradice 31, 67571 Náměšť nad Oslavou, Česká republika</t>
  </si>
  <si>
    <t>Nová</t>
  </si>
  <si>
    <t>Otradice 31</t>
  </si>
  <si>
    <t>Náměšť nad Oslavou</t>
  </si>
  <si>
    <t>Hypersonic  Whisper of Wind</t>
  </si>
  <si>
    <t xml:space="preserve">Lakki </t>
  </si>
  <si>
    <t>CMKU/KM/12953/21</t>
  </si>
  <si>
    <t>On The Edge z Dixie</t>
  </si>
  <si>
    <t>Izzi z Devonu</t>
  </si>
  <si>
    <t>Lakki  z Devonu</t>
  </si>
  <si>
    <t>Aiwen</t>
  </si>
  <si>
    <t>Adelmarchi</t>
  </si>
  <si>
    <t>CMKU/KM/12396/20</t>
  </si>
  <si>
    <t>Chippie z Devonu</t>
  </si>
  <si>
    <t xml:space="preserve">Ing. Martina Halířová </t>
  </si>
  <si>
    <t>Věra Váňová</t>
  </si>
  <si>
    <t>Open Class</t>
  </si>
  <si>
    <t>Okrajová 888/2, 64300 Brno, Česká republika</t>
  </si>
  <si>
    <t>Okrajová 888/2</t>
  </si>
  <si>
    <t>Aiwen  Adelmarchi</t>
  </si>
  <si>
    <t>Briana</t>
  </si>
  <si>
    <t>CMKU/KM/11920/19</t>
  </si>
  <si>
    <t>Odeta  Enel fenomen</t>
  </si>
  <si>
    <t xml:space="preserve"> Olga Dřímalová </t>
  </si>
  <si>
    <t>Olga Dřímalová</t>
  </si>
  <si>
    <t>Jižní náměstí 17, 61900 Brno, Česká republika</t>
  </si>
  <si>
    <t>Jižní náměstí 17</t>
  </si>
  <si>
    <t>Briana z Agova dvora</t>
  </si>
  <si>
    <t>Iordanis</t>
  </si>
  <si>
    <t>CMKU/KM/13240/21</t>
  </si>
  <si>
    <t>Leo Yank Wild Rane</t>
  </si>
  <si>
    <t>Felicity  Aknara Black</t>
  </si>
  <si>
    <t xml:space="preserve"> Sylva Pavlitová </t>
  </si>
  <si>
    <t>Michaela Zábojníková</t>
  </si>
  <si>
    <t>Knírač malý - černý</t>
  </si>
  <si>
    <t>Zwergschnauzer Schwarz</t>
  </si>
  <si>
    <t>Svratecká 303, 66461 Rajhradice, Česká republika</t>
  </si>
  <si>
    <t>Svratecká 303</t>
  </si>
  <si>
    <t>Rajhradice</t>
  </si>
  <si>
    <t>Iordanis  Aknara Black</t>
  </si>
  <si>
    <t xml:space="preserve">King Diamond </t>
  </si>
  <si>
    <t xml:space="preserve">Dowry Style </t>
  </si>
  <si>
    <t>CMKU/KM/13587/22</t>
  </si>
  <si>
    <t>Galin Hit James Bond</t>
  </si>
  <si>
    <t>Dreamkiss Dimple for Dawry Style</t>
  </si>
  <si>
    <t>Shevchenko Svitlana</t>
  </si>
  <si>
    <t>Miroslava Zelenková</t>
  </si>
  <si>
    <t>Popovec 28 , 53865 Řepníky, Česká republika</t>
  </si>
  <si>
    <t xml:space="preserve">Popovec 28 </t>
  </si>
  <si>
    <t>Řepníky</t>
  </si>
  <si>
    <t>Dowry Style King Diamond</t>
  </si>
  <si>
    <t>Nicolas</t>
  </si>
  <si>
    <t>CMKU/KM/11900/19</t>
  </si>
  <si>
    <t>Chivas Regal  Androis</t>
  </si>
  <si>
    <t>Harmony  Androis</t>
  </si>
  <si>
    <t xml:space="preserve"> Andrea Zaoralová </t>
  </si>
  <si>
    <t>Zberaz 30, 26401 Sedlčany, Česká republika</t>
  </si>
  <si>
    <t>Zberaz 30</t>
  </si>
  <si>
    <t>Sedlčany</t>
  </si>
  <si>
    <t>Nicolas  Androis</t>
  </si>
  <si>
    <t>Geneviev</t>
  </si>
  <si>
    <t>Velesstar</t>
  </si>
  <si>
    <t>CMKU/KM/13236/21</t>
  </si>
  <si>
    <t>Show Must Go On  Rus Darbis</t>
  </si>
  <si>
    <t>Angel Delight  Velesstar</t>
  </si>
  <si>
    <t xml:space="preserve"> Mykola Karmanov </t>
  </si>
  <si>
    <t>Jana Cvrčková Peterková</t>
  </si>
  <si>
    <t>Sadová 764, 69155 Moravská Nová Ves , Česká republika</t>
  </si>
  <si>
    <t>Sadová 764</t>
  </si>
  <si>
    <t xml:space="preserve">Moravská Nová Ves </t>
  </si>
  <si>
    <t>Geneviev  Velesstar</t>
  </si>
  <si>
    <t>Jackelin</t>
  </si>
  <si>
    <t>Phantom of Europe</t>
  </si>
  <si>
    <t>CMKU/KM/12548/20</t>
  </si>
  <si>
    <t>Asterix  Rezlark</t>
  </si>
  <si>
    <t>Fantasia  Phantom of Europe</t>
  </si>
  <si>
    <t xml:space="preserve"> Miroslava Zelenková </t>
  </si>
  <si>
    <t>Jackelin  Phantom of Europe</t>
  </si>
  <si>
    <t>Yasmina</t>
  </si>
  <si>
    <t>CMKU/KM/13337/22</t>
  </si>
  <si>
    <t>Yves Saint Laurent von den Black Diamond</t>
  </si>
  <si>
    <t>Quelle II von der Satans Meute</t>
  </si>
  <si>
    <t>Gabriele Silweschak</t>
  </si>
  <si>
    <t>Yasmina von der Satans Meute</t>
  </si>
  <si>
    <t>Orchidea Black</t>
  </si>
  <si>
    <t>CMKU/KM/12017/19</t>
  </si>
  <si>
    <t>Beautiful  Androis</t>
  </si>
  <si>
    <t>Orchidea Black  Androis</t>
  </si>
  <si>
    <t xml:space="preserve">Marianne </t>
  </si>
  <si>
    <t>CMKU/KM/11768/19</t>
  </si>
  <si>
    <t>Cooper Lordship´s</t>
  </si>
  <si>
    <t>Beautiful Androis</t>
  </si>
  <si>
    <t>Marianne   Androis</t>
  </si>
  <si>
    <t>Rumcajs</t>
  </si>
  <si>
    <t>z Kosířských hvozdů</t>
  </si>
  <si>
    <t>CMKU/KM/13478/22</t>
  </si>
  <si>
    <t>Dictador Ernst   Astronaut</t>
  </si>
  <si>
    <t>Kelly Grace z Kosířských hvozdů</t>
  </si>
  <si>
    <t xml:space="preserve"> Jana Dostálová </t>
  </si>
  <si>
    <t>Anna Skoupá</t>
  </si>
  <si>
    <t>Baby Class</t>
  </si>
  <si>
    <t>Knírač malý - pepř a sůl</t>
  </si>
  <si>
    <t>Zwergschnauzer Pfeffersalz</t>
  </si>
  <si>
    <t>Kigginsova 1530/4a, 62700 Brno, Česká republika</t>
  </si>
  <si>
    <t>Kigginsova 1530/4a</t>
  </si>
  <si>
    <t>Rumcajs z Kosířských hvozdů</t>
  </si>
  <si>
    <t>Hike</t>
  </si>
  <si>
    <t>Nebia</t>
  </si>
  <si>
    <t>CMKU/KM/13291/21</t>
  </si>
  <si>
    <t>Uncas Ps  Rezlark</t>
  </si>
  <si>
    <t>Xylophia Astronaut</t>
  </si>
  <si>
    <t xml:space="preserve"> Renáta Kvasilová </t>
  </si>
  <si>
    <t>Regina Flekačová</t>
  </si>
  <si>
    <t>Nivnická 422, 68801 Uherský Brod, Česká republika</t>
  </si>
  <si>
    <t>Neúplná</t>
  </si>
  <si>
    <t>Nivnická 422</t>
  </si>
  <si>
    <t>Uherský Brod</t>
  </si>
  <si>
    <t>Hike  Nebia</t>
  </si>
  <si>
    <t xml:space="preserve">BlackKiss </t>
  </si>
  <si>
    <t>CMKU/KM/12765/21</t>
  </si>
  <si>
    <t>First Kiss for Zelebrität from  Yarica</t>
  </si>
  <si>
    <t>Galaxy Axa  Darma</t>
  </si>
  <si>
    <t xml:space="preserve"> Marie Krupicová </t>
  </si>
  <si>
    <t>valerie čadílková</t>
  </si>
  <si>
    <t>drahonín 52, 59261 doubravník, Česká republika</t>
  </si>
  <si>
    <t>drahonín 52</t>
  </si>
  <si>
    <t>doubravník</t>
  </si>
  <si>
    <t>BlackKiss  z Penzionu Axa</t>
  </si>
  <si>
    <t>Aldo</t>
  </si>
  <si>
    <t>ČMKU/KM/12855/21</t>
  </si>
  <si>
    <t xml:space="preserve">First Kiss </t>
  </si>
  <si>
    <t xml:space="preserve">Adéla </t>
  </si>
  <si>
    <t xml:space="preserve"> Miloslava Kyliánová </t>
  </si>
  <si>
    <t>Jiří Surý</t>
  </si>
  <si>
    <t>Húskova 27 , 61800 Brno , Česká republika</t>
  </si>
  <si>
    <t xml:space="preserve">Húskova 27 </t>
  </si>
  <si>
    <t xml:space="preserve">Brno </t>
  </si>
  <si>
    <t>Aldo  Adelle Silver Stone</t>
  </si>
  <si>
    <t>Dobby Isso</t>
  </si>
  <si>
    <t>CMKU/KM/12576/20</t>
  </si>
  <si>
    <t>Isso z Agova dvora</t>
  </si>
  <si>
    <t>Tiffany Qwin Astronaut</t>
  </si>
  <si>
    <t xml:space="preserve">Ing. Eva Bajgarová </t>
  </si>
  <si>
    <t>Zdeněk Šimoník</t>
  </si>
  <si>
    <t>Wurmova 588/2, 60200 Brno, Česká republika</t>
  </si>
  <si>
    <t>Wurmova 588/2</t>
  </si>
  <si>
    <t>Dobby Isso  Hummergrey</t>
  </si>
  <si>
    <t>Norik</t>
  </si>
  <si>
    <t>CMKU/KM/10916/17</t>
  </si>
  <si>
    <t>Kairo Max  Astronaut</t>
  </si>
  <si>
    <t>Jamie z Agova dvora</t>
  </si>
  <si>
    <t>Milan Prchal</t>
  </si>
  <si>
    <t>Galandauerova 5, 61200 Brno, Česká republika</t>
  </si>
  <si>
    <t>Galandauerova 5</t>
  </si>
  <si>
    <t>Norik z Agova dvora</t>
  </si>
  <si>
    <t xml:space="preserve">Arsenal Kashmir </t>
  </si>
  <si>
    <t>CMKU/KM/11650/19</t>
  </si>
  <si>
    <t>Kashmir Starligs</t>
  </si>
  <si>
    <t>Ladislava Festová</t>
  </si>
  <si>
    <t>Rybova 1898/2, 500 09 Hradec Králové 9, Česká republika</t>
  </si>
  <si>
    <t>Rybova 1898/2</t>
  </si>
  <si>
    <t>Hradec Králové 9</t>
  </si>
  <si>
    <t>Arsenal Kashmir  z Penzionu Axa</t>
  </si>
  <si>
    <t>Quentin Owen</t>
  </si>
  <si>
    <t>CMKU/KM/9735/14</t>
  </si>
  <si>
    <t>Owen Wilson  Hildebert`s</t>
  </si>
  <si>
    <t>Contessa Diablo z Barokamu</t>
  </si>
  <si>
    <t xml:space="preserve"> Barbara Melcrová </t>
  </si>
  <si>
    <t>Veteran Class</t>
  </si>
  <si>
    <t>Quentin Owen z Barokamu</t>
  </si>
  <si>
    <t>Alexis</t>
  </si>
  <si>
    <t>CMKU/KM/12859/21</t>
  </si>
  <si>
    <t>Adéla z Černého nebe</t>
  </si>
  <si>
    <t>Miloslava Kyliánova</t>
  </si>
  <si>
    <t>Bílý Kámen 89, 58841 Vyskytná nad Jihlavou, Česká republika</t>
  </si>
  <si>
    <t>Bílý Kámen 89</t>
  </si>
  <si>
    <t>Vyskytná nad Jihlavou</t>
  </si>
  <si>
    <t>Alexis  Adelle Silver Stone</t>
  </si>
  <si>
    <t>Josefina Qwin</t>
  </si>
  <si>
    <t>ČMKU/KM/12991/21</t>
  </si>
  <si>
    <t>Yankee Zephyr Astronaut</t>
  </si>
  <si>
    <t>Noble Emma Astronaut</t>
  </si>
  <si>
    <t xml:space="preserve"> Miroslava Suchá </t>
  </si>
  <si>
    <t>Matěj Mikuláš Píše</t>
  </si>
  <si>
    <t>Choustník 8, 39118 Choustník, Česká republika</t>
  </si>
  <si>
    <t>Choustník 8</t>
  </si>
  <si>
    <t>Choustník</t>
  </si>
  <si>
    <t>Josefina Qwin  Astronaut</t>
  </si>
  <si>
    <t>Becky von</t>
  </si>
  <si>
    <t>Balahibo</t>
  </si>
  <si>
    <t>CMKU/KM/12362/20</t>
  </si>
  <si>
    <t>Ully Jingl Quentin z Barokamu</t>
  </si>
  <si>
    <t xml:space="preserve"> Josef Pírko </t>
  </si>
  <si>
    <t>Miroslava Fábková</t>
  </si>
  <si>
    <t>Kounicova 71, 602 00 Brno, Česká republika</t>
  </si>
  <si>
    <t>Kounicova 71</t>
  </si>
  <si>
    <t>Becky von  Balahibo</t>
  </si>
  <si>
    <t>Oxy</t>
  </si>
  <si>
    <t>CMKU/KM/12242/20</t>
  </si>
  <si>
    <t>Minnie z Agova dvora</t>
  </si>
  <si>
    <t>Oxy z Agova dvora</t>
  </si>
  <si>
    <t>Peggy</t>
  </si>
  <si>
    <t>CMKU/KM/12838/21</t>
  </si>
  <si>
    <t>Ismael Ernst  Astronaut</t>
  </si>
  <si>
    <t>Jana Dostálová</t>
  </si>
  <si>
    <t>Komenského 22, 77900 Olomouc 9, Česká republika</t>
  </si>
  <si>
    <t>Komenského 22</t>
  </si>
  <si>
    <t>Olomouc 9</t>
  </si>
  <si>
    <t>Peggy z Kosířských hvozdů</t>
  </si>
  <si>
    <t>Michelle Pepper</t>
  </si>
  <si>
    <t>CMKU/KM/11039/17</t>
  </si>
  <si>
    <t>Ivanhoe Pepper  Androis</t>
  </si>
  <si>
    <t>Dominga Pepper  Androis</t>
  </si>
  <si>
    <t>Michelle Pepper  Androis</t>
  </si>
  <si>
    <t>RICARDO</t>
  </si>
  <si>
    <t>RKF 6284157 ,CMKU/KS /10258/22</t>
  </si>
  <si>
    <t>CHERNI STRAZHNIK NEWTON</t>
  </si>
  <si>
    <t>CHERNI STRAZHNIK BUSY MISS LIZZIE</t>
  </si>
  <si>
    <t>EGORSHEVA M.L.</t>
  </si>
  <si>
    <t>Irena Kucharčíková</t>
  </si>
  <si>
    <t>Knírač střední - černý</t>
  </si>
  <si>
    <t>Schnauzer Schwarz</t>
  </si>
  <si>
    <t>Zahradní 309, 74757 Slavkov u Opavy, Česká republika</t>
  </si>
  <si>
    <t>Zahradní 309</t>
  </si>
  <si>
    <t>Slavkov u Opavy</t>
  </si>
  <si>
    <t>CHERNI STRAZHNIK RICARDO</t>
  </si>
  <si>
    <t>Gita</t>
  </si>
  <si>
    <t>z Hofjaru</t>
  </si>
  <si>
    <t>CMKU/KS/10090/21</t>
  </si>
  <si>
    <t>Euro  Bohemia Cardinal</t>
  </si>
  <si>
    <t>Corra z Hofjaru</t>
  </si>
  <si>
    <t xml:space="preserve"> Jaroslav Hofman </t>
  </si>
  <si>
    <t>Jana Vyhnánková</t>
  </si>
  <si>
    <t>Nám. Karla IV, 5/5, 62800 Brno, Česká republika</t>
  </si>
  <si>
    <t>Nám. Karla IV, 5/5</t>
  </si>
  <si>
    <t>Gita z Hofjaru</t>
  </si>
  <si>
    <t>Chess</t>
  </si>
  <si>
    <t>CMKU/KS/9963/21</t>
  </si>
  <si>
    <t>Yuki od Dalajského potoka</t>
  </si>
  <si>
    <t>Claris od Dalajského potoka</t>
  </si>
  <si>
    <t xml:space="preserve">Ing.arch. Martina Kaprálková </t>
  </si>
  <si>
    <t>Lenka Zdražilová</t>
  </si>
  <si>
    <t>Postoupky 229, 76701 Kroměříž, Česká republika</t>
  </si>
  <si>
    <t>Postoupky 229</t>
  </si>
  <si>
    <t>Kroměříž</t>
  </si>
  <si>
    <t>Chess od Dalajského potoka</t>
  </si>
  <si>
    <t>Akéla</t>
  </si>
  <si>
    <t>Bagsin dvůr</t>
  </si>
  <si>
    <t>CMKU/KS/9432/19</t>
  </si>
  <si>
    <t>Benjamin Amigo ze Charlotina údolí</t>
  </si>
  <si>
    <t>Bugsy  Magiko asteri</t>
  </si>
  <si>
    <t xml:space="preserve"> Miroslava Pelcová </t>
  </si>
  <si>
    <t>Miroslav Kotulán</t>
  </si>
  <si>
    <t>Okrouhlá 16, 62500 Brno, Česká republika</t>
  </si>
  <si>
    <t>Okrouhlá 16</t>
  </si>
  <si>
    <t>Akéla  Bagsin dvůr</t>
  </si>
  <si>
    <t>Paulie</t>
  </si>
  <si>
    <t>Iringa</t>
  </si>
  <si>
    <t>CMKU/KS/8921/16</t>
  </si>
  <si>
    <t>Gerro  Miku`s</t>
  </si>
  <si>
    <t>Monique  Iringa</t>
  </si>
  <si>
    <t xml:space="preserve"> Irena Kucharčíková </t>
  </si>
  <si>
    <t>Paulie  Iringa</t>
  </si>
  <si>
    <t>MONTY</t>
  </si>
  <si>
    <t>ČMKU/KS/10131/21</t>
  </si>
  <si>
    <t>Odyssey Saltus ze Záhrabské</t>
  </si>
  <si>
    <t>Hadley Fortuna Moravia</t>
  </si>
  <si>
    <t xml:space="preserve"> Petra Vrchotová </t>
  </si>
  <si>
    <t>Petra Kříčková</t>
  </si>
  <si>
    <t>Knírač střední - pepř a sůl</t>
  </si>
  <si>
    <t>Schnauzer Pfeffersalz</t>
  </si>
  <si>
    <t>Dolní Albeřice 25, 542 26 Horní Maršov, Česká republika</t>
  </si>
  <si>
    <t>Dolní Albeřice 25</t>
  </si>
  <si>
    <t>Horní Maršov</t>
  </si>
  <si>
    <t>MONTY  Fortuna Moravia</t>
  </si>
  <si>
    <t xml:space="preserve">Euforia </t>
  </si>
  <si>
    <t>Gloria Leones</t>
  </si>
  <si>
    <t>CMKU/KS/10235/22</t>
  </si>
  <si>
    <t>Odyssey Saltus Ze Záhrabské</t>
  </si>
  <si>
    <t>Altezza Massima Cherry Sweet Gloria Leones</t>
  </si>
  <si>
    <t xml:space="preserve"> Michaela Zubrická </t>
  </si>
  <si>
    <t>Eva Bajgarová</t>
  </si>
  <si>
    <t>Krasová 410/8, 61400 Brno, Česká republika</t>
  </si>
  <si>
    <t>Krasová 410/8</t>
  </si>
  <si>
    <t>Euforia   Gloria Leones</t>
  </si>
  <si>
    <t>Molly</t>
  </si>
  <si>
    <t>CMKU/KS/10137/21</t>
  </si>
  <si>
    <t>Hadley  Fortuna Moravia</t>
  </si>
  <si>
    <t>Petra Vrchotová</t>
  </si>
  <si>
    <t>Olešná e.č.107, 67801 Blansko, Česká republika</t>
  </si>
  <si>
    <t>Olešná e.č.107</t>
  </si>
  <si>
    <t>Molly  Fortuna Moravia</t>
  </si>
  <si>
    <t>Brixa Veselá kopa</t>
  </si>
  <si>
    <t>CMKU/KS/10048/21</t>
  </si>
  <si>
    <t>Frank  A Finta F Morava</t>
  </si>
  <si>
    <t>Bora Koberno Czech  Koberno Czech</t>
  </si>
  <si>
    <t xml:space="preserve"> Bohunka Grebeňová </t>
  </si>
  <si>
    <t>Růžena Horká</t>
  </si>
  <si>
    <t>Mohelno505, 67575 Mohelno, Česká republika</t>
  </si>
  <si>
    <t>Mohelno505</t>
  </si>
  <si>
    <t>Mohelno</t>
  </si>
  <si>
    <t>Brixa Veselá kopa  Veselá kopa</t>
  </si>
  <si>
    <t>Fidorka</t>
  </si>
  <si>
    <t>CMKU/KS/9970/21</t>
  </si>
  <si>
    <t>Quentin  Alarm Beskyd</t>
  </si>
  <si>
    <t>Jammela  Alarm Beskyd</t>
  </si>
  <si>
    <t xml:space="preserve"> Lenka Fajkusová </t>
  </si>
  <si>
    <t>Eva Ondrušová</t>
  </si>
  <si>
    <t>Slanisko 724, 66452 Sokolnice, Česká republika</t>
  </si>
  <si>
    <t>Slanisko 724</t>
  </si>
  <si>
    <t>Sokolnice</t>
  </si>
  <si>
    <t>Fidorka  Alarm Beskyd</t>
  </si>
  <si>
    <t>Tara Pepper</t>
  </si>
  <si>
    <t>CMKU/KS/9920/21</t>
  </si>
  <si>
    <t>Miccoseukees MR. Nice Guy</t>
  </si>
  <si>
    <t>I'm Iska  Grand Calvera</t>
  </si>
  <si>
    <t xml:space="preserve"> Denisa Havelková </t>
  </si>
  <si>
    <t>David Holoubek</t>
  </si>
  <si>
    <t>Trnava 81, 67401 Třebíč, Česká republika</t>
  </si>
  <si>
    <t>Trnava 81</t>
  </si>
  <si>
    <t>Třebíč</t>
  </si>
  <si>
    <t>Tara Pepper  Grand Calvera</t>
  </si>
  <si>
    <t>Xelavi</t>
  </si>
  <si>
    <t>CMKU/KS/9694/20</t>
  </si>
  <si>
    <t>Maddox  Alarm Beskyd</t>
  </si>
  <si>
    <t>Tomáš Sagher</t>
  </si>
  <si>
    <t>Na Vyhlídce 11, 66448 Moravany, Česká republika</t>
  </si>
  <si>
    <t>Na Vyhlídce 11</t>
  </si>
  <si>
    <t>Moravany</t>
  </si>
  <si>
    <t>Xelavi  Alarm Beskyd</t>
  </si>
  <si>
    <t>Justine</t>
  </si>
  <si>
    <t>CMKU/KS/9230/18</t>
  </si>
  <si>
    <t>Magnifique  Ave Concorde</t>
  </si>
  <si>
    <t>Hanny  Fortuna Moravia</t>
  </si>
  <si>
    <t>Justine  Fortuna Moravia</t>
  </si>
  <si>
    <t>Jonathan</t>
  </si>
  <si>
    <t>CMKU/KV/8251/21</t>
  </si>
  <si>
    <t>Russian Standard Hella-Hof</t>
  </si>
  <si>
    <t>Philippa  Radinie</t>
  </si>
  <si>
    <t xml:space="preserve">Ing. Zd.+Helena Glänznerovi </t>
  </si>
  <si>
    <t>Lucie Rulfová</t>
  </si>
  <si>
    <t>Knírač velký - černý</t>
  </si>
  <si>
    <t>Riesenschnauzer Schwarz</t>
  </si>
  <si>
    <t>Senička 142, 78345 Senička, Česká republika</t>
  </si>
  <si>
    <t>Senička 142</t>
  </si>
  <si>
    <t>Senička</t>
  </si>
  <si>
    <t>Jonathan  Radinie</t>
  </si>
  <si>
    <t>Agir</t>
  </si>
  <si>
    <t>ze Zámku Lemberk</t>
  </si>
  <si>
    <t>CMKU/KV/8068/20</t>
  </si>
  <si>
    <t>Maigret Radinie</t>
  </si>
  <si>
    <t>Natasha Natty Goldest Danubius</t>
  </si>
  <si>
    <t xml:space="preserve">Bc. Jana Melnyčuk </t>
  </si>
  <si>
    <t>Lubomír Kotásek</t>
  </si>
  <si>
    <t>Na Návsi 9/6, 74714 Ludgeřovice, Česká republika</t>
  </si>
  <si>
    <t>Na Návsi 9/6</t>
  </si>
  <si>
    <t>Ludgeřovice</t>
  </si>
  <si>
    <t>Agir ze Zámku Lemberk</t>
  </si>
  <si>
    <t>Casper</t>
  </si>
  <si>
    <t>CMKU/KV/7973</t>
  </si>
  <si>
    <t>Frenklin ze Slunečné verandy</t>
  </si>
  <si>
    <t>Caracasa od Devíti vrb</t>
  </si>
  <si>
    <t xml:space="preserve">Bc. Jana Durdíková </t>
  </si>
  <si>
    <t>Martin Bárta</t>
  </si>
  <si>
    <t>Herálec232, 58255 Herálec, Česká republika</t>
  </si>
  <si>
    <t>Herálec232</t>
  </si>
  <si>
    <t>Herálec</t>
  </si>
  <si>
    <t>Casper  Tender Savage</t>
  </si>
  <si>
    <t>Baloo</t>
  </si>
  <si>
    <t>CMKU/KV/7662/18</t>
  </si>
  <si>
    <t>Charlie Hugo  Radinie</t>
  </si>
  <si>
    <t>Alena Palánová</t>
  </si>
  <si>
    <t>Working Class</t>
  </si>
  <si>
    <t>Herálec 232, 58255 Herálec , Česká republika</t>
  </si>
  <si>
    <t>Herálec 232</t>
  </si>
  <si>
    <t xml:space="preserve">Herálec </t>
  </si>
  <si>
    <t>Baloo  Tender Savage</t>
  </si>
  <si>
    <t>DOREEN</t>
  </si>
  <si>
    <t>Giom Kastasi</t>
  </si>
  <si>
    <t>CMKU/KV/8396/22</t>
  </si>
  <si>
    <t>Taurus Tarr  Goldest Danubius</t>
  </si>
  <si>
    <t>Arach Giom Kastasi</t>
  </si>
  <si>
    <t xml:space="preserve">Mgr. Kateřina Zwillingová </t>
  </si>
  <si>
    <t>DOREEN  Giom Kastasi</t>
  </si>
  <si>
    <t>Queen Bee Ruby</t>
  </si>
  <si>
    <t>Sluneční paprsek</t>
  </si>
  <si>
    <t>CMKU/KV/8106/20</t>
  </si>
  <si>
    <t>Nathaly  Sluneční paprsek</t>
  </si>
  <si>
    <t xml:space="preserve"> Lenka Fraňková </t>
  </si>
  <si>
    <t>Barbora Bortlová</t>
  </si>
  <si>
    <t>Polní 627, 78313 Štěpánov, Česká republika</t>
  </si>
  <si>
    <t>Polní 627</t>
  </si>
  <si>
    <t>Štěpánov</t>
  </si>
  <si>
    <t>Queen Bee Ruby  Sluneční paprsek</t>
  </si>
  <si>
    <t xml:space="preserve">Julie </t>
  </si>
  <si>
    <t>CMKU/KV/8048/20</t>
  </si>
  <si>
    <t>Mefisto Mio  Goldest Danubius</t>
  </si>
  <si>
    <t>Charlotte od Devíti vrb</t>
  </si>
  <si>
    <t xml:space="preserve"> Kateřina Boháčová </t>
  </si>
  <si>
    <t>Renata Homolová</t>
  </si>
  <si>
    <t>24.dubna 245, 664 43 Želešice, Česká republika</t>
  </si>
  <si>
    <t>24.dubna 245</t>
  </si>
  <si>
    <t>Želešice</t>
  </si>
  <si>
    <t>Julie  od Devíti vrb</t>
  </si>
  <si>
    <t>Calamity Jean</t>
  </si>
  <si>
    <t>CMKU/KV/8216/21</t>
  </si>
  <si>
    <t>Ikarus vom Luther see</t>
  </si>
  <si>
    <t>Anette  Habrůvka</t>
  </si>
  <si>
    <t xml:space="preserve"> Iveta Hladká </t>
  </si>
  <si>
    <t>Iveta Hladká</t>
  </si>
  <si>
    <t>Knírač velký - pepř a sůl</t>
  </si>
  <si>
    <t>Riesenschnauzer Pfeffersalz</t>
  </si>
  <si>
    <t>Habrůvka 145, 67905 Křtiny, Česká republika</t>
  </si>
  <si>
    <t>Habrůvka 145</t>
  </si>
  <si>
    <t>Křtiny</t>
  </si>
  <si>
    <t>Calamity Jean  Habrůvka</t>
  </si>
  <si>
    <t>Pzn</t>
  </si>
  <si>
    <t>V1, VT, ČKŠ-J</t>
  </si>
  <si>
    <t>V1, VT, ČKŠ</t>
  </si>
  <si>
    <t>V1, VT, ČKŠ, OKV</t>
  </si>
  <si>
    <t>V1, VT, ČKŠ-J, Nejhezčí mladý</t>
  </si>
  <si>
    <t>V1, VT, ČKŠ, OKV, Nejhezčí SK</t>
  </si>
  <si>
    <t>V2, res.ČKŠ</t>
  </si>
  <si>
    <t>V1, VT, ČKŠ, OKV, Nejhezčí MK</t>
  </si>
  <si>
    <t>č.38</t>
  </si>
  <si>
    <t>č.2</t>
  </si>
  <si>
    <t>č.45</t>
  </si>
  <si>
    <t>č.5</t>
  </si>
  <si>
    <t>č.44</t>
  </si>
  <si>
    <t>č.51</t>
  </si>
  <si>
    <t>V1, VT, ČKŠ, OKV, Nejhezčí VK, Nejhezčí knírač výstavy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</si>
</sst>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Arial Black"/>
      <family val="2"/>
      <charset val="238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/>
    </xf>
    <xf numFmtId="0" fontId="6" fillId="2" borderId="2" xfId="0" applyFont="1" applyFill="1" applyBorder="1" applyAlignment="1">
      <alignment vertical="top"/>
    </xf>
    <xf numFmtId="0" fontId="6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14" fontId="0" fillId="0" borderId="0" xfId="0" applyNumberFormat="1"/>
    <xf numFmtId="0" fontId="1" fillId="0" borderId="0" xfId="0" applyFont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1" fillId="2" borderId="3" xfId="0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6" fillId="2" borderId="5" xfId="0" applyFont="1" applyFill="1" applyBorder="1" applyAlignment="1">
      <alignment vertical="top"/>
    </xf>
    <xf numFmtId="0" fontId="1" fillId="0" borderId="5" xfId="0" applyFont="1" applyBorder="1" applyAlignment="1">
      <alignment horizontal="right" vertical="top" wrapText="1"/>
    </xf>
    <xf numFmtId="0" fontId="6" fillId="2" borderId="3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2" name="AutoShape 3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3" name="AutoShape 4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4" name="AutoShape 5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5" name="AutoShape 6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6" name="AutoShape 7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7" name="AutoShape 8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8" name="AutoShape 9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9" name="AutoShape 10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0" name="AutoShape 11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1" name="AutoShape 12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2" name="AutoShape 13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3" name="AutoShape 14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4" name="AutoShape 15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5" name="AutoShape 16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6" name="AutoShape 17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7" name="AutoShape 18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8" name="AutoShape 19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9" name="AutoShape 20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20" name="AutoShape 21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21" name="AutoShape 22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22" name="AutoShape 23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23" name="AutoShape 24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24" name="AutoShape 25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25" name="AutoShape 26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26" name="AutoShape 27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27" name="AutoShape 28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28" name="AutoShape 29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29" name="AutoShape 30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30" name="AutoShape 31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31" name="AutoShape 32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32" name="AutoShape 33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33" name="AutoShape 34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34" name="AutoShape 35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35" name="AutoShape 36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36" name="AutoShape 37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37" name="AutoShape 38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38" name="AutoShape 39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39" name="AutoShape 40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40" name="AutoShape 41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41" name="AutoShape 42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42" name="AutoShape 43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43" name="AutoShape 44" descr="https://cdn.staticaly.com/gh/hjnilsson/country-flags/master/svg/sk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44" name="AutoShape 45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45" name="AutoShape 46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46" name="AutoShape 47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47" name="AutoShape 48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48" name="AutoShape 49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49" name="AutoShape 50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50" name="AutoShape 51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51" name="AutoShape 52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52" name="AutoShape 53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53" name="AutoShape 54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54" name="AutoShape 55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55" name="AutoShape 56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56" name="AutoShape 57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57" name="AutoShape 58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58" name="AutoShape 59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59" name="AutoShape 60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60" name="AutoShape 61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61" name="AutoShape 62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62" name="AutoShape 63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63" name="AutoShape 64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64" name="AutoShape 65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65" name="AutoShape 66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66" name="AutoShape 67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67" name="AutoShape 68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68" name="AutoShape 69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69" name="AutoShape 70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70" name="AutoShape 71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71" name="AutoShape 72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72" name="AutoShape 73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73" name="AutoShape 74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74" name="AutoShape 75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75" name="AutoShape 76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76" name="AutoShape 77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77" name="AutoShape 78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78" name="AutoShape 79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79" name="AutoShape 80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80" name="AutoShape 81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81" name="AutoShape 82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82" name="AutoShape 83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83" name="AutoShape 84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84" name="AutoShape 85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85" name="AutoShape 86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86" name="AutoShape 87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87" name="AutoShape 88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88" name="AutoShape 89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89" name="AutoShape 90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90" name="AutoShape 91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91" name="AutoShape 92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92" name="AutoShape 93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93" name="AutoShape 94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94" name="AutoShape 95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95" name="AutoShape 96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96" name="AutoShape 97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97" name="AutoShape 98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98" name="AutoShape 99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99" name="AutoShape 100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00" name="AutoShape 101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01" name="AutoShape 102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02" name="AutoShape 103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03" name="AutoShape 104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04" name="AutoShape 105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05" name="AutoShape 106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06" name="AutoShape 107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07" name="AutoShape 108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08" name="AutoShape 109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09" name="AutoShape 110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10" name="AutoShape 111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11" name="AutoShape 112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12" name="AutoShape 113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13" name="AutoShape 114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14" name="AutoShape 115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15" name="AutoShape 116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16" name="AutoShape 117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17" name="AutoShape 118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18" name="AutoShape 119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19" name="AutoShape 120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20" name="AutoShape 121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21" name="AutoShape 122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22" name="AutoShape 123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23" name="AutoShape 124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24" name="AutoShape 125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25" name="AutoShape 126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26" name="AutoShape 127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27" name="AutoShape 128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sp macro="" textlink="">
      <xdr:nvSpPr>
        <xdr:cNvPr id="128" name="AutoShape 129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2706350"/>
          <a:ext cx="114300" cy="114300"/>
        </a:xfrm>
        <a:prstGeom prst="rect">
          <a:avLst/>
        </a:prstGeom>
        <a:noFill/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27" name="AutoShape 3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1714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28" name="AutoShape 4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2095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29" name="AutoShape 5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2667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30" name="AutoShape 6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3238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31" name="AutoShape 7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3619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32" name="AutoShape 8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4191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33" name="AutoShape 9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4762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34" name="AutoShape 10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5334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35" name="AutoShape 11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5905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36" name="AutoShape 12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6477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37" name="AutoShape 13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7048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38" name="AutoShape 14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8191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39" name="AutoShape 15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9334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40" name="AutoShape 16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9906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41" name="AutoShape 17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10477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42" name="AutoShape 18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10858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43" name="AutoShape 19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11239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44" name="AutoShape 20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12001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45" name="AutoShape 21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12573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46" name="AutoShape 22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13144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47" name="AutoShape 23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13716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48" name="AutoShape 24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14097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49" name="AutoShape 25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14668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50" name="AutoShape 26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15240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51" name="AutoShape 27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15811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52" name="AutoShape 28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16383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53" name="AutoShape 29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16764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54" name="AutoShape 30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17335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55" name="AutoShape 31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18097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56" name="AutoShape 32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18669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57" name="AutoShape 33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19240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58" name="AutoShape 34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19812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59" name="AutoShape 35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20383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60" name="AutoShape 36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20955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61" name="AutoShape 37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22288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62" name="AutoShape 38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23431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63" name="AutoShape 39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24193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64" name="AutoShape 40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24765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65" name="AutoShape 41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25336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66" name="AutoShape 42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25908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67" name="AutoShape 43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26289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68" name="AutoShape 44" descr="https://cdn.staticaly.com/gh/hjnilsson/country-flags/master/svg/sk.svg"/>
        <xdr:cNvSpPr>
          <a:spLocks noChangeAspect="1" noChangeArrowheads="1"/>
        </xdr:cNvSpPr>
      </xdr:nvSpPr>
      <xdr:spPr bwMode="auto">
        <a:xfrm>
          <a:off x="3048000" y="26860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69" name="AutoShape 45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28003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70" name="AutoShape 46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28384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71" name="AutoShape 47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28956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72" name="AutoShape 48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29718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73" name="AutoShape 49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30480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74" name="AutoShape 50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31051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75" name="AutoShape 51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31432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76" name="AutoShape 52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32194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77" name="AutoShape 53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32766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78" name="AutoShape 54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33337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79" name="AutoShape 55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34480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80" name="AutoShape 56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14449425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81" name="AutoShape 57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36195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82" name="AutoShape 58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36766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83" name="AutoShape 59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37147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84" name="AutoShape 60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37719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85" name="AutoShape 61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38100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86" name="AutoShape 62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38862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87" name="AutoShape 63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39624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88" name="AutoShape 64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40386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89" name="AutoShape 65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41148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90" name="AutoShape 66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41719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91" name="AutoShape 67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42291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92" name="AutoShape 68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42862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93" name="AutoShape 69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43624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94" name="AutoShape 70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44196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95" name="AutoShape 71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44767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96" name="AutoShape 72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46101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97" name="AutoShape 73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47244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98" name="AutoShape 74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47815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099" name="AutoShape 75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48387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00" name="AutoShape 76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48768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01" name="AutoShape 77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49911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02" name="AutoShape 78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50292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03" name="AutoShape 79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51054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04" name="AutoShape 80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51816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05" name="AutoShape 81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52387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06" name="AutoShape 82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53149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07" name="AutoShape 83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53721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08" name="AutoShape 84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54102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09" name="AutoShape 85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54483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10" name="AutoShape 86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55054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11" name="AutoShape 87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55816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12" name="AutoShape 88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57150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13" name="AutoShape 89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58293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14" name="AutoShape 90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58674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15" name="AutoShape 91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59055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16" name="AutoShape 92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59436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17" name="AutoShape 93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60198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18" name="AutoShape 94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60769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19" name="AutoShape 95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61341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20" name="AutoShape 96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61912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21" name="AutoShape 97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62484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22" name="AutoShape 98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63055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23" name="AutoShape 99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63627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24" name="AutoShape 100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64198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25" name="AutoShape 101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64770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26" name="AutoShape 102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65341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27" name="AutoShape 103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65913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28" name="AutoShape 104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66675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29" name="AutoShape 105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68008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30" name="AutoShape 106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69151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31" name="AutoShape 107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70485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32" name="AutoShape 108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71628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33" name="AutoShape 109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72009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34" name="AutoShape 110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72390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35" name="AutoShape 111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72961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36" name="AutoShape 112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73342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37" name="AutoShape 113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73914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38" name="AutoShape 114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74295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39" name="AutoShape 115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75057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40" name="AutoShape 116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75628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41" name="AutoShape 117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76009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42" name="AutoShape 118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76581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43" name="AutoShape 119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77152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44" name="AutoShape 120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77724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45" name="AutoShape 121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78295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46" name="AutoShape 122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78867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47" name="AutoShape 123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80010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48" name="AutoShape 124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0" y="81153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49" name="AutoShape 125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82296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50" name="AutoShape 126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83058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51" name="AutoShape 127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838200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52" name="AutoShape 128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84391500"/>
          <a:ext cx="114300" cy="1143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sp macro="" textlink="">
      <xdr:nvSpPr>
        <xdr:cNvPr id="1153" name="AutoShape 129" descr="https://cdn.staticaly.com/gh/hjnilsson/country-flags/master/svg/cz.svg"/>
        <xdr:cNvSpPr>
          <a:spLocks noChangeAspect="1" noChangeArrowheads="1"/>
        </xdr:cNvSpPr>
      </xdr:nvSpPr>
      <xdr:spPr bwMode="auto">
        <a:xfrm>
          <a:off x="3048000" y="84772500"/>
          <a:ext cx="114300" cy="1143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5"/>
  <sheetViews>
    <sheetView tabSelected="1" workbookViewId="0">
      <selection activeCell="E55" sqref="E55"/>
    </sheetView>
  </sheetViews>
  <sheetFormatPr defaultRowHeight="15"/>
  <cols>
    <col min="1" max="1" width="5.85546875" style="1" bestFit="1" customWidth="1"/>
    <col min="2" max="2" width="2.85546875" style="25" customWidth="1"/>
    <col min="3" max="3" width="35.7109375" style="1" customWidth="1"/>
    <col min="4" max="4" width="13.5703125" style="1" customWidth="1"/>
    <col min="5" max="5" width="37.140625" style="2" customWidth="1"/>
    <col min="6" max="6" width="9.140625" style="1" hidden="1" customWidth="1"/>
    <col min="7" max="7" width="9.140625" style="1"/>
    <col min="8" max="8" width="9.140625" style="1" customWidth="1"/>
    <col min="9" max="16384" width="9.140625" style="1"/>
  </cols>
  <sheetData>
    <row r="1" spans="1:6" ht="24.75">
      <c r="A1" s="22" t="s">
        <v>48</v>
      </c>
      <c r="B1" s="22"/>
      <c r="C1" s="22"/>
      <c r="D1" s="22"/>
      <c r="E1" s="22"/>
    </row>
    <row r="2" spans="1:6" ht="15" customHeight="1">
      <c r="A2" s="23" t="s">
        <v>76</v>
      </c>
      <c r="B2" s="23"/>
      <c r="C2" s="23"/>
      <c r="D2" s="23"/>
      <c r="E2" s="23"/>
    </row>
    <row r="3" spans="1:6" ht="15" customHeight="1">
      <c r="A3" s="23" t="s">
        <v>77</v>
      </c>
      <c r="B3" s="23"/>
      <c r="C3" s="23"/>
      <c r="D3" s="23"/>
      <c r="E3" s="23"/>
    </row>
    <row r="4" spans="1:6" ht="15" customHeight="1"/>
    <row r="5" spans="1:6" ht="15" customHeight="1">
      <c r="A5" s="35" t="str">
        <f>F9</f>
        <v>Knírač malý - bílý</v>
      </c>
      <c r="B5" s="35"/>
      <c r="C5" s="35"/>
      <c r="D5" s="35"/>
      <c r="E5" s="35"/>
    </row>
    <row r="6" spans="1:6" ht="15" customHeight="1">
      <c r="A6" s="1" t="s">
        <v>0</v>
      </c>
    </row>
    <row r="7" spans="1:6" ht="15" customHeight="1">
      <c r="A7" s="1" t="str">
        <f>CSV!Z2</f>
        <v xml:space="preserve">Ing. Danuše Kotalová </v>
      </c>
    </row>
    <row r="8" spans="1:6" ht="15" customHeight="1">
      <c r="A8" s="7" t="s">
        <v>44</v>
      </c>
      <c r="B8" s="26"/>
      <c r="C8" s="7" t="s">
        <v>4</v>
      </c>
      <c r="D8" s="7" t="s">
        <v>3</v>
      </c>
      <c r="E8" s="8" t="s">
        <v>2</v>
      </c>
      <c r="F8" s="1" t="s">
        <v>610</v>
      </c>
    </row>
    <row r="9" spans="1:6" ht="15" customHeight="1">
      <c r="A9" s="31">
        <f>CSV!C2</f>
        <v>1</v>
      </c>
      <c r="B9" s="32" t="str">
        <f>IF(CSV!AG2="fena","♀","♂")</f>
        <v>♀</v>
      </c>
      <c r="C9" s="31" t="str">
        <f>CSV!H2&amp;" "&amp;CSV!I2</f>
        <v>Umberta Shadow White de Pepa</v>
      </c>
      <c r="D9" s="31" t="str">
        <f>CSV!T2</f>
        <v>Mezitřída</v>
      </c>
      <c r="E9" s="33" t="s">
        <v>612</v>
      </c>
      <c r="F9" s="1" t="str">
        <f>CSV!V2</f>
        <v>Knírač malý - bílý</v>
      </c>
    </row>
    <row r="10" spans="1:6" ht="15" customHeight="1">
      <c r="A10" s="34"/>
      <c r="B10" s="34"/>
      <c r="C10" s="34"/>
      <c r="D10" s="34"/>
      <c r="E10" s="34"/>
    </row>
    <row r="11" spans="1:6" ht="15" customHeight="1">
      <c r="A11" s="35" t="str">
        <f>F15</f>
        <v>Knírač malý - černostříbřitý</v>
      </c>
      <c r="B11" s="35"/>
      <c r="C11" s="35"/>
      <c r="D11" s="35"/>
      <c r="E11" s="35"/>
    </row>
    <row r="12" spans="1:6" ht="15" customHeight="1">
      <c r="A12" s="1" t="s">
        <v>0</v>
      </c>
    </row>
    <row r="13" spans="1:6" ht="15" customHeight="1">
      <c r="A13" s="1" t="str">
        <f>CSV!Z2</f>
        <v xml:space="preserve">Ing. Danuše Kotalová </v>
      </c>
    </row>
    <row r="14" spans="1:6" ht="15" customHeight="1">
      <c r="A14" s="7" t="s">
        <v>44</v>
      </c>
      <c r="B14" s="26"/>
      <c r="C14" s="7" t="s">
        <v>4</v>
      </c>
      <c r="D14" s="7" t="s">
        <v>3</v>
      </c>
      <c r="E14" s="8" t="s">
        <v>2</v>
      </c>
      <c r="F14" s="1" t="s">
        <v>610</v>
      </c>
    </row>
    <row r="15" spans="1:6" ht="15" customHeight="1">
      <c r="A15" s="3">
        <f>CSV!C3</f>
        <v>2</v>
      </c>
      <c r="B15" s="27" t="str">
        <f>IF(CSV!AG3="fena","♀","♂")</f>
        <v>♂</v>
      </c>
      <c r="C15" s="3" t="str">
        <f>CSV!H3&amp;" "&amp;CSV!I3</f>
        <v>Amor z Kralické tiskárny</v>
      </c>
      <c r="D15" s="3" t="str">
        <f>CSV!T3</f>
        <v>Třída dorostu</v>
      </c>
      <c r="E15" s="4" t="s">
        <v>47</v>
      </c>
      <c r="F15" s="1" t="str">
        <f>CSV!V3</f>
        <v>Knírač malý - černostříbřitý</v>
      </c>
    </row>
    <row r="16" spans="1:6" ht="15" customHeight="1">
      <c r="A16" s="3">
        <f>CSV!C4</f>
        <v>3</v>
      </c>
      <c r="B16" s="27" t="str">
        <f>IF(CSV!AG4="fena","♀","♂")</f>
        <v>♂</v>
      </c>
      <c r="C16" s="3" t="str">
        <f>CSV!H4&amp;" "&amp;CSV!I4</f>
        <v>Quick  Loučeňská tvrz</v>
      </c>
      <c r="D16" s="3" t="str">
        <f>CSV!T4</f>
        <v>Třída mladých</v>
      </c>
      <c r="E16" s="4" t="s">
        <v>611</v>
      </c>
      <c r="F16" s="1" t="str">
        <f>CSV!V4</f>
        <v>Knírač malý - černostříbřitý</v>
      </c>
    </row>
    <row r="17" spans="1:6" ht="15" customHeight="1">
      <c r="A17" s="3">
        <f>CSV!C5</f>
        <v>4</v>
      </c>
      <c r="B17" s="27" t="str">
        <f>IF(CSV!AG5="fena","♀","♂")</f>
        <v>♂</v>
      </c>
      <c r="C17" s="3" t="str">
        <f>CSV!H5&amp;" "&amp;CSV!I5</f>
        <v>Mobby z Devonu</v>
      </c>
      <c r="D17" s="3" t="str">
        <f>CSV!T5</f>
        <v>Mezitřída</v>
      </c>
      <c r="E17" s="4" t="s">
        <v>612</v>
      </c>
      <c r="F17" s="1" t="str">
        <f>CSV!V5</f>
        <v>Knírač malý - černostříbřitý</v>
      </c>
    </row>
    <row r="18" spans="1:6" ht="15" customHeight="1">
      <c r="A18" s="3">
        <f>CSV!C6</f>
        <v>5</v>
      </c>
      <c r="B18" s="27" t="str">
        <f>IF(CSV!AG6="fena","♀","♂")</f>
        <v>♂</v>
      </c>
      <c r="C18" s="3" t="str">
        <f>CSV!H6&amp;" "&amp;CSV!I6</f>
        <v>Bloom for Fatima  Monochrome</v>
      </c>
      <c r="D18" s="3" t="str">
        <f>CSV!T6</f>
        <v>Třída vítězů</v>
      </c>
      <c r="E18" s="4" t="s">
        <v>617</v>
      </c>
      <c r="F18" s="1" t="str">
        <f>CSV!V6</f>
        <v>Knírač malý - černostříbřitý</v>
      </c>
    </row>
    <row r="19" spans="1:6" ht="15" customHeight="1">
      <c r="A19" s="3">
        <f>CSV!C7</f>
        <v>6</v>
      </c>
      <c r="B19" s="27" t="str">
        <f>IF(CSV!AG7="fena","♀","♂")</f>
        <v>♂</v>
      </c>
      <c r="C19" s="3" t="str">
        <f>CSV!H7&amp;" "&amp;CSV!I7</f>
        <v>Hypersonic Whisper of Wind</v>
      </c>
      <c r="D19" s="3" t="str">
        <f>CSV!T7</f>
        <v>Třída čestná</v>
      </c>
      <c r="E19" s="4" t="s">
        <v>45</v>
      </c>
      <c r="F19" s="1" t="str">
        <f>CSV!V7</f>
        <v>Knírač malý - černostříbřitý</v>
      </c>
    </row>
    <row r="20" spans="1:6" ht="15" customHeight="1">
      <c r="A20" s="3">
        <f>CSV!C8</f>
        <v>7</v>
      </c>
      <c r="B20" s="27" t="str">
        <f>IF(CSV!AG8="fena","♀","♂")</f>
        <v>♀</v>
      </c>
      <c r="C20" s="3" t="str">
        <f>CSV!H8&amp;" "&amp;CSV!I8</f>
        <v>Lakki  z Devonu</v>
      </c>
      <c r="D20" s="3" t="str">
        <f>CSV!T8</f>
        <v>Mezitřída</v>
      </c>
      <c r="E20" s="4" t="s">
        <v>612</v>
      </c>
      <c r="F20" s="1" t="str">
        <f>CSV!V8</f>
        <v>Knírač malý - černostříbřitý</v>
      </c>
    </row>
    <row r="21" spans="1:6" ht="15" customHeight="1">
      <c r="A21" s="3">
        <f>CSV!C9</f>
        <v>8</v>
      </c>
      <c r="B21" s="27" t="str">
        <f>IF(CSV!AG9="fena","♀","♂")</f>
        <v>♀</v>
      </c>
      <c r="C21" s="3" t="str">
        <f>CSV!H9&amp;" "&amp;CSV!I9</f>
        <v>Aiwen Adelmarchi</v>
      </c>
      <c r="D21" s="3" t="str">
        <f>CSV!T9</f>
        <v>Třída otevřená</v>
      </c>
      <c r="E21" s="4" t="s">
        <v>613</v>
      </c>
      <c r="F21" s="1" t="str">
        <f>CSV!V9</f>
        <v>Knírač malý - černostříbřitý</v>
      </c>
    </row>
    <row r="22" spans="1:6" ht="15" customHeight="1">
      <c r="A22" s="5">
        <f>CSV!C10</f>
        <v>9</v>
      </c>
      <c r="B22" s="28" t="str">
        <f>IF(CSV!AG10="fena","♀","♂")</f>
        <v>♀</v>
      </c>
      <c r="C22" s="5" t="str">
        <f>CSV!H10&amp;" "&amp;CSV!I10</f>
        <v>Briana z Agova dvora</v>
      </c>
      <c r="D22" s="5" t="str">
        <f>CSV!T10</f>
        <v>Třída otevřená</v>
      </c>
      <c r="E22" s="6" t="s">
        <v>616</v>
      </c>
      <c r="F22" s="1" t="str">
        <f>CSV!V10</f>
        <v>Knírač malý - černostříbřitý</v>
      </c>
    </row>
    <row r="23" spans="1:6" ht="15" customHeight="1">
      <c r="B23" s="1"/>
      <c r="E23" s="1"/>
    </row>
    <row r="24" spans="1:6" ht="15" customHeight="1">
      <c r="A24" s="35" t="str">
        <f>F28</f>
        <v>Knírač malý - černý</v>
      </c>
      <c r="B24" s="35"/>
      <c r="C24" s="35"/>
      <c r="D24" s="35"/>
      <c r="E24" s="35"/>
    </row>
    <row r="25" spans="1:6" ht="15" customHeight="1">
      <c r="A25" s="1" t="s">
        <v>0</v>
      </c>
    </row>
    <row r="26" spans="1:6" ht="15" customHeight="1">
      <c r="A26" s="1" t="str">
        <f>CSV!Z2</f>
        <v xml:space="preserve">Ing. Danuše Kotalová </v>
      </c>
    </row>
    <row r="27" spans="1:6" ht="15" customHeight="1">
      <c r="A27" s="7" t="s">
        <v>44</v>
      </c>
      <c r="B27" s="26"/>
      <c r="C27" s="7" t="s">
        <v>4</v>
      </c>
      <c r="D27" s="7" t="s">
        <v>3</v>
      </c>
      <c r="E27" s="8" t="s">
        <v>2</v>
      </c>
      <c r="F27" s="1" t="s">
        <v>610</v>
      </c>
    </row>
    <row r="28" spans="1:6" ht="15" customHeight="1">
      <c r="A28" s="3">
        <f>CSV!C11</f>
        <v>10</v>
      </c>
      <c r="B28" s="27" t="str">
        <f>IF(CSV!AG11="fena","♀","♂")</f>
        <v>♂</v>
      </c>
      <c r="C28" s="3" t="str">
        <f>CSV!H11&amp;" "&amp;CSV!I11</f>
        <v>Iordanis Aknara Black</v>
      </c>
      <c r="D28" s="3" t="str">
        <f>CSV!T11</f>
        <v>Třída mladých</v>
      </c>
      <c r="E28" s="4" t="s">
        <v>16</v>
      </c>
      <c r="F28" s="1" t="str">
        <f>CSV!V11</f>
        <v>Knírač malý - černý</v>
      </c>
    </row>
    <row r="29" spans="1:6" ht="15" customHeight="1">
      <c r="A29" s="3">
        <f>CSV!C12</f>
        <v>11</v>
      </c>
      <c r="B29" s="27" t="str">
        <f>IF(CSV!AG12="fena","♀","♂")</f>
        <v>♂</v>
      </c>
      <c r="C29" s="3" t="str">
        <f>CSV!H12&amp;" "&amp;CSV!I12</f>
        <v xml:space="preserve">King Diamond  Dowry Style </v>
      </c>
      <c r="D29" s="3" t="str">
        <f>CSV!T12</f>
        <v>Třída mladých</v>
      </c>
      <c r="E29" s="4" t="s">
        <v>7</v>
      </c>
      <c r="F29" s="1" t="str">
        <f>CSV!V12</f>
        <v>Knírač malý - černý</v>
      </c>
    </row>
    <row r="30" spans="1:6" ht="15" customHeight="1">
      <c r="A30" s="3">
        <f>CSV!C13</f>
        <v>12</v>
      </c>
      <c r="B30" s="27" t="str">
        <f>IF(CSV!AG13="fena","♀","♂")</f>
        <v>♂</v>
      </c>
      <c r="C30" s="3" t="str">
        <f>CSV!H13&amp;" "&amp;CSV!I13</f>
        <v>Nicolas Androis</v>
      </c>
      <c r="D30" s="3" t="str">
        <f>CSV!T13</f>
        <v>Třída vítězů</v>
      </c>
      <c r="E30" s="4" t="s">
        <v>613</v>
      </c>
      <c r="F30" s="1" t="str">
        <f>CSV!V13</f>
        <v>Knírač malý - černý</v>
      </c>
    </row>
    <row r="31" spans="1:6" ht="15" customHeight="1">
      <c r="A31" s="3">
        <f>CSV!C14</f>
        <v>13</v>
      </c>
      <c r="B31" s="27" t="str">
        <f>IF(CSV!AG14="fena","♀","♂")</f>
        <v>♀</v>
      </c>
      <c r="C31" s="3" t="str">
        <f>CSV!H14&amp;" "&amp;CSV!I14</f>
        <v>Geneviev Velesstar</v>
      </c>
      <c r="D31" s="3" t="str">
        <f>CSV!T14</f>
        <v>Třída mladých</v>
      </c>
      <c r="E31" s="4" t="s">
        <v>611</v>
      </c>
      <c r="F31" s="1" t="str">
        <f>CSV!V14</f>
        <v>Knírač malý - černý</v>
      </c>
    </row>
    <row r="32" spans="1:6" ht="15" customHeight="1">
      <c r="A32" s="3">
        <f>CSV!C15</f>
        <v>14</v>
      </c>
      <c r="B32" s="27" t="str">
        <f>IF(CSV!AG15="fena","♀","♂")</f>
        <v>♀</v>
      </c>
      <c r="C32" s="3" t="str">
        <f>CSV!H15&amp;" "&amp;CSV!I15</f>
        <v>Jackelin Phantom of Europe</v>
      </c>
      <c r="D32" s="3" t="str">
        <f>CSV!T15</f>
        <v>Mezitřída</v>
      </c>
      <c r="E32" s="4" t="s">
        <v>616</v>
      </c>
      <c r="F32" s="1" t="str">
        <f>CSV!V15</f>
        <v>Knírač malý - černý</v>
      </c>
    </row>
    <row r="33" spans="1:6" ht="15" customHeight="1">
      <c r="A33" s="3">
        <f>CSV!C16</f>
        <v>15</v>
      </c>
      <c r="B33" s="27" t="str">
        <f>IF(CSV!AG16="fena","♀","♂")</f>
        <v>♀</v>
      </c>
      <c r="C33" s="3" t="str">
        <f>CSV!H16&amp;" "&amp;CSV!I16</f>
        <v>Yasmina von der Satans Meute</v>
      </c>
      <c r="D33" s="3" t="str">
        <f>CSV!T16</f>
        <v>Mezitřída</v>
      </c>
      <c r="E33" s="4" t="s">
        <v>612</v>
      </c>
      <c r="F33" s="1" t="str">
        <f>CSV!V16</f>
        <v>Knírač malý - černý</v>
      </c>
    </row>
    <row r="34" spans="1:6" ht="15" customHeight="1">
      <c r="A34" s="3">
        <f>CSV!C17</f>
        <v>16</v>
      </c>
      <c r="B34" s="27" t="str">
        <f>IF(CSV!AG17="fena","♀","♂")</f>
        <v>♀</v>
      </c>
      <c r="C34" s="3" t="str">
        <f>CSV!H17&amp;" "&amp;CSV!I17</f>
        <v>Orchidea Black Androis</v>
      </c>
      <c r="D34" s="3" t="str">
        <f>CSV!T17</f>
        <v>Třída otevřená</v>
      </c>
      <c r="E34" s="4" t="s">
        <v>45</v>
      </c>
      <c r="F34" s="1" t="str">
        <f>CSV!V17</f>
        <v>Knírač malý - černý</v>
      </c>
    </row>
    <row r="35" spans="1:6" ht="15" customHeight="1">
      <c r="A35" s="5">
        <f>CSV!C18</f>
        <v>17</v>
      </c>
      <c r="B35" s="28" t="str">
        <f>IF(CSV!AG18="fena","♀","♂")</f>
        <v>♀</v>
      </c>
      <c r="C35" s="5" t="str">
        <f>CSV!H18&amp;" "&amp;CSV!I18</f>
        <v>Marianne  Androis</v>
      </c>
      <c r="D35" s="5" t="str">
        <f>CSV!T18</f>
        <v>Třída vítězů</v>
      </c>
      <c r="E35" s="6" t="s">
        <v>613</v>
      </c>
      <c r="F35" s="1" t="str">
        <f>CSV!V18</f>
        <v>Knírač malý - černý</v>
      </c>
    </row>
    <row r="36" spans="1:6" ht="15" customHeight="1">
      <c r="B36" s="1"/>
      <c r="E36" s="1"/>
    </row>
    <row r="37" spans="1:6" ht="15" customHeight="1">
      <c r="A37" s="35" t="str">
        <f>F41</f>
        <v>Knírač malý - pepř a sůl</v>
      </c>
      <c r="B37" s="35"/>
      <c r="C37" s="35"/>
      <c r="D37" s="35"/>
      <c r="E37" s="35"/>
    </row>
    <row r="38" spans="1:6" ht="15" customHeight="1">
      <c r="A38" s="1" t="s">
        <v>0</v>
      </c>
    </row>
    <row r="39" spans="1:6" ht="15" customHeight="1">
      <c r="A39" s="1" t="str">
        <f>CSV!Z14</f>
        <v xml:space="preserve">Ing. Danuše Kotalová </v>
      </c>
    </row>
    <row r="40" spans="1:6" ht="15" customHeight="1">
      <c r="A40" s="7" t="s">
        <v>44</v>
      </c>
      <c r="B40" s="26"/>
      <c r="C40" s="7" t="s">
        <v>4</v>
      </c>
      <c r="D40" s="7" t="s">
        <v>3</v>
      </c>
      <c r="E40" s="8" t="s">
        <v>2</v>
      </c>
      <c r="F40" s="1" t="s">
        <v>610</v>
      </c>
    </row>
    <row r="41" spans="1:6" ht="15" customHeight="1">
      <c r="A41" s="3">
        <f>CSV!C19</f>
        <v>18</v>
      </c>
      <c r="B41" s="27" t="str">
        <f>IF(CSV!AG19="fena","♀","♂")</f>
        <v>♂</v>
      </c>
      <c r="C41" s="3" t="str">
        <f>CSV!H19&amp;" "&amp;CSV!I19</f>
        <v>Rumcajs z Kosířských hvozdů</v>
      </c>
      <c r="D41" s="3" t="str">
        <f>CSV!T19</f>
        <v>Třída štěňat</v>
      </c>
      <c r="E41" s="4" t="s">
        <v>21</v>
      </c>
      <c r="F41" s="1" t="str">
        <f>CSV!V19</f>
        <v>Knírač malý - pepř a sůl</v>
      </c>
    </row>
    <row r="42" spans="1:6" ht="15" customHeight="1">
      <c r="A42" s="3">
        <f>CSV!C20</f>
        <v>19</v>
      </c>
      <c r="B42" s="27" t="str">
        <f>IF(CSV!AG20="fena","♀","♂")</f>
        <v>♂</v>
      </c>
      <c r="C42" s="3" t="str">
        <f>CSV!H20&amp;" "&amp;CSV!I20</f>
        <v>Hike Nebia</v>
      </c>
      <c r="D42" s="3" t="str">
        <f>CSV!T20</f>
        <v>Třída mladých</v>
      </c>
      <c r="E42" s="4" t="s">
        <v>19</v>
      </c>
      <c r="F42" s="1" t="str">
        <f>CSV!V20</f>
        <v>Knírač malý - pepř a sůl</v>
      </c>
    </row>
    <row r="43" spans="1:6" ht="15" customHeight="1">
      <c r="A43" s="3">
        <f>CSV!C21</f>
        <v>20</v>
      </c>
      <c r="B43" s="27" t="str">
        <f>IF(CSV!AG21="fena","♀","♂")</f>
        <v>♂</v>
      </c>
      <c r="C43" s="3" t="str">
        <f>CSV!H21&amp;" "&amp;CSV!I21</f>
        <v>BlackKiss  z Penzionu Axa</v>
      </c>
      <c r="D43" s="3" t="str">
        <f>CSV!T21</f>
        <v>Mezitřída</v>
      </c>
      <c r="E43" s="4" t="s">
        <v>613</v>
      </c>
      <c r="F43" s="1" t="str">
        <f>CSV!V21</f>
        <v>Knírač malý - pepř a sůl</v>
      </c>
    </row>
    <row r="44" spans="1:6" ht="15" customHeight="1">
      <c r="A44" s="3">
        <f>CSV!C22</f>
        <v>21</v>
      </c>
      <c r="B44" s="27" t="str">
        <f>IF(CSV!AG22="fena","♀","♂")</f>
        <v>♂</v>
      </c>
      <c r="C44" s="3" t="str">
        <f>CSV!H22&amp;" "&amp;CSV!I22</f>
        <v>Aldo Adelle Silver Stone</v>
      </c>
      <c r="D44" s="3" t="str">
        <f>CSV!T22</f>
        <v>Třída otevřená</v>
      </c>
      <c r="E44" s="4" t="s">
        <v>45</v>
      </c>
      <c r="F44" s="1" t="str">
        <f>CSV!V22</f>
        <v>Knírač malý - pepř a sůl</v>
      </c>
    </row>
    <row r="45" spans="1:6" ht="15" customHeight="1">
      <c r="A45" s="3">
        <f>CSV!C23</f>
        <v>22</v>
      </c>
      <c r="B45" s="27" t="str">
        <f>IF(CSV!AG23="fena","♀","♂")</f>
        <v>♂</v>
      </c>
      <c r="C45" s="3" t="str">
        <f>CSV!H23&amp;" "&amp;CSV!I23</f>
        <v>Dobby Isso Hummergrey</v>
      </c>
      <c r="D45" s="3" t="str">
        <f>CSV!T23</f>
        <v>Třída otevřená</v>
      </c>
      <c r="E45" s="4" t="s">
        <v>612</v>
      </c>
      <c r="F45" s="1" t="str">
        <f>CSV!V23</f>
        <v>Knírač malý - pepř a sůl</v>
      </c>
    </row>
    <row r="46" spans="1:6" ht="15" customHeight="1">
      <c r="A46" s="3">
        <f>CSV!C24</f>
        <v>23</v>
      </c>
      <c r="B46" s="27" t="str">
        <f>IF(CSV!AG24="fena","♀","♂")</f>
        <v>♂</v>
      </c>
      <c r="C46" s="3" t="str">
        <f>CSV!H24&amp;" "&amp;CSV!I24</f>
        <v>Norik z Agova dvora</v>
      </c>
      <c r="D46" s="3" t="str">
        <f>CSV!T24</f>
        <v>Třída otevřená</v>
      </c>
      <c r="E46" s="4" t="s">
        <v>7</v>
      </c>
      <c r="F46" s="1" t="str">
        <f>CSV!V24</f>
        <v>Knírač malý - pepř a sůl</v>
      </c>
    </row>
    <row r="47" spans="1:6" ht="15" customHeight="1">
      <c r="A47" s="3">
        <f>CSV!C25</f>
        <v>24</v>
      </c>
      <c r="B47" s="27" t="str">
        <f>IF(CSV!AG25="fena","♀","♂")</f>
        <v>♂</v>
      </c>
      <c r="C47" s="3" t="str">
        <f>CSV!H25&amp;" "&amp;CSV!I25</f>
        <v>Arsenal Kashmir  z Penzionu Axa</v>
      </c>
      <c r="D47" s="3" t="str">
        <f>CSV!T25</f>
        <v>Třída vítězů</v>
      </c>
      <c r="E47" s="4" t="s">
        <v>612</v>
      </c>
      <c r="F47" s="1" t="str">
        <f>CSV!V25</f>
        <v>Knírač malý - pepř a sůl</v>
      </c>
    </row>
    <row r="48" spans="1:6" ht="15" customHeight="1">
      <c r="A48" s="3">
        <f>CSV!C26</f>
        <v>25</v>
      </c>
      <c r="B48" s="27" t="str">
        <f>IF(CSV!AG26="fena","♀","♂")</f>
        <v>♂</v>
      </c>
      <c r="C48" s="3" t="str">
        <f>CSV!H26&amp;" "&amp;CSV!I26</f>
        <v>Quentin Owen z Barokamu</v>
      </c>
      <c r="D48" s="3" t="str">
        <f>CSV!T26</f>
        <v>Třída veteránů</v>
      </c>
      <c r="E48" s="4" t="s">
        <v>45</v>
      </c>
      <c r="F48" s="1" t="str">
        <f>CSV!V26</f>
        <v>Knírač malý - pepř a sůl</v>
      </c>
    </row>
    <row r="49" spans="1:6" ht="15" customHeight="1">
      <c r="A49" s="3">
        <f>CSV!C27</f>
        <v>26</v>
      </c>
      <c r="B49" s="27" t="str">
        <f>IF(CSV!AG27="fena","♀","♂")</f>
        <v>♀</v>
      </c>
      <c r="C49" s="3" t="str">
        <f>CSV!H27&amp;" "&amp;CSV!I27</f>
        <v>Alexis Adelle Silver Stone</v>
      </c>
      <c r="D49" s="3" t="str">
        <f>CSV!T27</f>
        <v>Třída mladých</v>
      </c>
      <c r="E49" s="4" t="s">
        <v>16</v>
      </c>
      <c r="F49" s="1" t="str">
        <f>CSV!V27</f>
        <v>Knírač malý - pepř a sůl</v>
      </c>
    </row>
    <row r="50" spans="1:6" ht="15" customHeight="1">
      <c r="A50" s="3">
        <f>CSV!C28</f>
        <v>27</v>
      </c>
      <c r="B50" s="27" t="str">
        <f>IF(CSV!AG28="fena","♀","♂")</f>
        <v>♀</v>
      </c>
      <c r="C50" s="3" t="str">
        <f>CSV!H28&amp;" "&amp;CSV!I28</f>
        <v>Josefina Qwin Astronaut</v>
      </c>
      <c r="D50" s="3" t="str">
        <f>CSV!T28</f>
        <v>Mezitřída</v>
      </c>
      <c r="E50" s="4" t="s">
        <v>612</v>
      </c>
      <c r="F50" s="1" t="str">
        <f>CSV!V28</f>
        <v>Knírač malý - pepř a sůl</v>
      </c>
    </row>
    <row r="51" spans="1:6" ht="15" customHeight="1">
      <c r="A51" s="3">
        <f>CSV!C29</f>
        <v>28</v>
      </c>
      <c r="B51" s="27" t="str">
        <f>IF(CSV!AG29="fena","♀","♂")</f>
        <v>♀</v>
      </c>
      <c r="C51" s="3" t="str">
        <f>CSV!H29&amp;" "&amp;CSV!I29</f>
        <v>Becky von Balahibo</v>
      </c>
      <c r="D51" s="3" t="str">
        <f>CSV!T29</f>
        <v>Třída otevřená</v>
      </c>
      <c r="E51" s="4" t="s">
        <v>616</v>
      </c>
      <c r="F51" s="1" t="str">
        <f>CSV!V29</f>
        <v>Knírač malý - pepř a sůl</v>
      </c>
    </row>
    <row r="52" spans="1:6" ht="15" customHeight="1">
      <c r="A52" s="3">
        <f>CSV!C30</f>
        <v>29</v>
      </c>
      <c r="B52" s="27" t="str">
        <f>IF(CSV!AG30="fena","♀","♂")</f>
        <v>♀</v>
      </c>
      <c r="C52" s="3" t="str">
        <f>CSV!H30&amp;" "&amp;CSV!I30</f>
        <v>Oxy z Agova dvora</v>
      </c>
      <c r="D52" s="3" t="str">
        <f>CSV!T30</f>
        <v>Třída otevřená</v>
      </c>
      <c r="E52" s="4" t="s">
        <v>5</v>
      </c>
      <c r="F52" s="1" t="str">
        <f>CSV!V30</f>
        <v>Knírač malý - pepř a sůl</v>
      </c>
    </row>
    <row r="53" spans="1:6" ht="15" customHeight="1">
      <c r="A53" s="3">
        <f>CSV!C31</f>
        <v>30</v>
      </c>
      <c r="B53" s="27" t="str">
        <f>IF(CSV!AG31="fena","♀","♂")</f>
        <v>♀</v>
      </c>
      <c r="C53" s="3" t="str">
        <f>CSV!H31&amp;" "&amp;CSV!I31</f>
        <v>Peggy z Kosířských hvozdů</v>
      </c>
      <c r="D53" s="3" t="str">
        <f>CSV!T31</f>
        <v>Třída otevřená</v>
      </c>
      <c r="E53" s="4" t="s">
        <v>612</v>
      </c>
      <c r="F53" s="1" t="str">
        <f>CSV!V31</f>
        <v>Knírač malý - pepř a sůl</v>
      </c>
    </row>
    <row r="54" spans="1:6" ht="15" customHeight="1">
      <c r="A54" s="5">
        <f>CSV!C32</f>
        <v>31</v>
      </c>
      <c r="B54" s="28" t="str">
        <f>IF(CSV!AG32="fena","♀","♂")</f>
        <v>♀</v>
      </c>
      <c r="C54" s="5" t="str">
        <f>CSV!H32&amp;" "&amp;CSV!I32</f>
        <v>Michelle Pepper Androis</v>
      </c>
      <c r="D54" s="5" t="str">
        <f>CSV!T32</f>
        <v>Třída vítězů</v>
      </c>
      <c r="E54" s="6" t="s">
        <v>613</v>
      </c>
      <c r="F54" s="1" t="str">
        <f>CSV!V32</f>
        <v>Knírač malý - pepř a sůl</v>
      </c>
    </row>
    <row r="55" spans="1:6" ht="15" customHeight="1">
      <c r="B55" s="1"/>
      <c r="E55" s="1"/>
    </row>
    <row r="56" spans="1:6" ht="15" customHeight="1">
      <c r="A56" s="35" t="str">
        <f>F60</f>
        <v>Knírač střední - černý</v>
      </c>
      <c r="B56" s="35"/>
      <c r="C56" s="35"/>
      <c r="D56" s="35"/>
      <c r="E56" s="35"/>
    </row>
    <row r="57" spans="1:6" ht="15" customHeight="1">
      <c r="A57" s="1" t="s">
        <v>0</v>
      </c>
    </row>
    <row r="58" spans="1:6" ht="15" customHeight="1">
      <c r="A58" s="1" t="str">
        <f>CSV!Z32</f>
        <v xml:space="preserve">Ing. Danuše Kotalová </v>
      </c>
    </row>
    <row r="59" spans="1:6" ht="15" customHeight="1">
      <c r="A59" s="7" t="s">
        <v>44</v>
      </c>
      <c r="B59" s="26"/>
      <c r="C59" s="7" t="s">
        <v>4</v>
      </c>
      <c r="D59" s="7" t="s">
        <v>3</v>
      </c>
      <c r="E59" s="8" t="s">
        <v>2</v>
      </c>
      <c r="F59" s="1" t="s">
        <v>610</v>
      </c>
    </row>
    <row r="60" spans="1:6" ht="15" customHeight="1">
      <c r="A60" s="3">
        <f>CSV!C33</f>
        <v>32</v>
      </c>
      <c r="B60" s="27" t="str">
        <f>IF(CSV!AG33="fena","♀","♂")</f>
        <v>♂</v>
      </c>
      <c r="C60" s="3" t="str">
        <f>CSV!H33&amp;" "&amp;CSV!I33</f>
        <v>RICARDO CHERNI STRAZHNIK</v>
      </c>
      <c r="D60" s="3" t="str">
        <f>CSV!T33</f>
        <v>Mezitřída</v>
      </c>
      <c r="E60" s="4" t="s">
        <v>613</v>
      </c>
      <c r="F60" s="1" t="str">
        <f>CSV!V33</f>
        <v>Knírač střední - černý</v>
      </c>
    </row>
    <row r="61" spans="1:6" ht="15" customHeight="1">
      <c r="A61" s="3">
        <f>CSV!C34</f>
        <v>33</v>
      </c>
      <c r="B61" s="27" t="str">
        <f>IF(CSV!AG34="fena","♀","♂")</f>
        <v>♀</v>
      </c>
      <c r="C61" s="3" t="str">
        <f>CSV!H34&amp;" "&amp;CSV!I34</f>
        <v>Gita z Hofjaru</v>
      </c>
      <c r="D61" s="3" t="str">
        <f>CSV!T34</f>
        <v>Třída mladých</v>
      </c>
      <c r="E61" s="4" t="s">
        <v>611</v>
      </c>
      <c r="F61" s="1" t="str">
        <f>CSV!V34</f>
        <v>Knírač střední - černý</v>
      </c>
    </row>
    <row r="62" spans="1:6" ht="15" customHeight="1">
      <c r="A62" s="3">
        <f>CSV!C35</f>
        <v>34</v>
      </c>
      <c r="B62" s="27" t="str">
        <f>IF(CSV!AG35="fena","♀","♂")</f>
        <v>♀</v>
      </c>
      <c r="C62" s="3" t="str">
        <f>CSV!H35&amp;" "&amp;CSV!I35</f>
        <v>Chess od Dalajského potoka</v>
      </c>
      <c r="D62" s="3" t="str">
        <f>CSV!T35</f>
        <v>Mezitřída</v>
      </c>
      <c r="E62" s="4" t="s">
        <v>613</v>
      </c>
      <c r="F62" s="1" t="str">
        <f>CSV!V35</f>
        <v>Knírač střední - černý</v>
      </c>
    </row>
    <row r="63" spans="1:6" ht="15" customHeight="1">
      <c r="A63" s="3">
        <f>CSV!C36</f>
        <v>35</v>
      </c>
      <c r="B63" s="27" t="str">
        <f>IF(CSV!AG36="fena","♀","♂")</f>
        <v>♀</v>
      </c>
      <c r="C63" s="3" t="str">
        <f>CSV!H36&amp;" "&amp;CSV!I36</f>
        <v>Akéla Bagsin dvůr</v>
      </c>
      <c r="D63" s="3" t="str">
        <f>CSV!T36</f>
        <v>Třída otevřená</v>
      </c>
      <c r="E63" s="4" t="s">
        <v>16</v>
      </c>
      <c r="F63" s="1" t="str">
        <f>CSV!V36</f>
        <v>Knírač střední - černý</v>
      </c>
    </row>
    <row r="64" spans="1:6" ht="15" customHeight="1">
      <c r="A64" s="5">
        <f>CSV!C37</f>
        <v>36</v>
      </c>
      <c r="B64" s="28" t="str">
        <f>IF(CSV!AG37="fena","♀","♂")</f>
        <v>♀</v>
      </c>
      <c r="C64" s="5" t="str">
        <f>CSV!H37&amp;" "&amp;CSV!I37</f>
        <v>Paulie Iringa</v>
      </c>
      <c r="D64" s="5" t="str">
        <f>CSV!T37</f>
        <v>Třída vítězů</v>
      </c>
      <c r="E64" s="6" t="s">
        <v>16</v>
      </c>
      <c r="F64" s="1" t="str">
        <f>CSV!V37</f>
        <v>Knírač střední - černý</v>
      </c>
    </row>
    <row r="65" spans="1:6" ht="15" customHeight="1">
      <c r="B65" s="1"/>
      <c r="E65" s="1"/>
    </row>
    <row r="66" spans="1:6" ht="15" customHeight="1">
      <c r="A66" s="35" t="str">
        <f>F70</f>
        <v>Knírač střední - pepř a sůl</v>
      </c>
      <c r="B66" s="35"/>
      <c r="C66" s="35"/>
      <c r="D66" s="35"/>
      <c r="E66" s="35"/>
    </row>
    <row r="67" spans="1:6" ht="15" customHeight="1">
      <c r="A67" s="1" t="s">
        <v>0</v>
      </c>
    </row>
    <row r="68" spans="1:6" ht="15" customHeight="1">
      <c r="A68" s="1" t="str">
        <f>CSV!Z41</f>
        <v xml:space="preserve">Ing. Danuše Kotalová </v>
      </c>
    </row>
    <row r="69" spans="1:6" ht="15" customHeight="1">
      <c r="A69" s="7" t="s">
        <v>44</v>
      </c>
      <c r="B69" s="26"/>
      <c r="C69" s="7" t="s">
        <v>4</v>
      </c>
      <c r="D69" s="7" t="s">
        <v>3</v>
      </c>
      <c r="E69" s="8" t="s">
        <v>2</v>
      </c>
      <c r="F69" s="1" t="s">
        <v>610</v>
      </c>
    </row>
    <row r="70" spans="1:6" ht="15" customHeight="1">
      <c r="A70" s="3">
        <f>CSV!C38</f>
        <v>37</v>
      </c>
      <c r="B70" s="27" t="str">
        <f>IF(CSV!AG38="fena","♀","♂")</f>
        <v>♂</v>
      </c>
      <c r="C70" s="3" t="str">
        <f>CSV!H38&amp;" "&amp;CSV!I38</f>
        <v>MONTY Fortuna Moravia</v>
      </c>
      <c r="D70" s="3" t="str">
        <f>CSV!T38</f>
        <v>Třída mladých</v>
      </c>
      <c r="E70" s="4" t="s">
        <v>611</v>
      </c>
      <c r="F70" s="1" t="str">
        <f>CSV!V38</f>
        <v>Knírač střední - pepř a sůl</v>
      </c>
    </row>
    <row r="71" spans="1:6" ht="15" customHeight="1">
      <c r="A71" s="3">
        <f>CSV!C39</f>
        <v>38</v>
      </c>
      <c r="B71" s="27" t="str">
        <f>IF(CSV!AG39="fena","♀","♂")</f>
        <v>♀</v>
      </c>
      <c r="C71" s="3" t="str">
        <f>CSV!H39&amp;" "&amp;CSV!I39</f>
        <v>Euforia  Gloria Leones</v>
      </c>
      <c r="D71" s="3" t="str">
        <f>CSV!T39</f>
        <v>Třída štěňat</v>
      </c>
      <c r="E71" s="4" t="s">
        <v>46</v>
      </c>
      <c r="F71" s="1" t="str">
        <f>CSV!V39</f>
        <v>Knírač střední - pepř a sůl</v>
      </c>
    </row>
    <row r="72" spans="1:6" ht="15" customHeight="1">
      <c r="A72" s="3">
        <f>CSV!C40</f>
        <v>39</v>
      </c>
      <c r="B72" s="27" t="str">
        <f>IF(CSV!AG40="fena","♀","♂")</f>
        <v>♀</v>
      </c>
      <c r="C72" s="3" t="str">
        <f>CSV!H40&amp;" "&amp;CSV!I40</f>
        <v>Molly Fortuna Moravia</v>
      </c>
      <c r="D72" s="3" t="str">
        <f>CSV!T40</f>
        <v>Třída mladých</v>
      </c>
      <c r="E72" s="4" t="s">
        <v>611</v>
      </c>
      <c r="F72" s="1" t="str">
        <f>CSV!V40</f>
        <v>Knírač střední - pepř a sůl</v>
      </c>
    </row>
    <row r="73" spans="1:6" ht="15" customHeight="1">
      <c r="A73" s="3">
        <f>CSV!C41</f>
        <v>40</v>
      </c>
      <c r="B73" s="27" t="str">
        <f>IF(CSV!AG41="fena","♀","♂")</f>
        <v>♀</v>
      </c>
      <c r="C73" s="3" t="str">
        <f>CSV!H41&amp;" "&amp;CSV!I41</f>
        <v>Brixa Veselá kopa Veselá kopa</v>
      </c>
      <c r="D73" s="3" t="str">
        <f>CSV!T41</f>
        <v>Mezitřída</v>
      </c>
      <c r="E73" s="4" t="s">
        <v>612</v>
      </c>
      <c r="F73" s="1" t="str">
        <f>CSV!V41</f>
        <v>Knírač střední - pepř a sůl</v>
      </c>
    </row>
    <row r="74" spans="1:6" ht="15" customHeight="1">
      <c r="A74" s="3">
        <f>CSV!C42</f>
        <v>41</v>
      </c>
      <c r="B74" s="27" t="str">
        <f>IF(CSV!AG42="fena","♀","♂")</f>
        <v>♀</v>
      </c>
      <c r="C74" s="3" t="str">
        <f>CSV!H42&amp;" "&amp;CSV!I42</f>
        <v>Fidorka Alarm Beskyd</v>
      </c>
      <c r="D74" s="3" t="str">
        <f>CSV!T42</f>
        <v>Mezitřída</v>
      </c>
      <c r="E74" s="4" t="s">
        <v>616</v>
      </c>
      <c r="F74" s="1" t="str">
        <f>CSV!V42</f>
        <v>Knírač střední - pepř a sůl</v>
      </c>
    </row>
    <row r="75" spans="1:6" ht="15" customHeight="1">
      <c r="A75" s="3">
        <f>CSV!C43</f>
        <v>42</v>
      </c>
      <c r="B75" s="27" t="str">
        <f>IF(CSV!AG43="fena","♀","♂")</f>
        <v>♀</v>
      </c>
      <c r="C75" s="3" t="str">
        <f>CSV!H43&amp;" "&amp;CSV!I43</f>
        <v>Tara Pepper Grand Calvera</v>
      </c>
      <c r="D75" s="3" t="str">
        <f>CSV!T43</f>
        <v>Třída otevřená</v>
      </c>
      <c r="E75" s="4" t="s">
        <v>23</v>
      </c>
      <c r="F75" s="1" t="str">
        <f>CSV!V43</f>
        <v>Knírač střední - pepř a sůl</v>
      </c>
    </row>
    <row r="76" spans="1:6" ht="15" customHeight="1">
      <c r="A76" s="3">
        <f>CSV!C44</f>
        <v>43</v>
      </c>
      <c r="B76" s="27" t="str">
        <f>IF(CSV!AG44="fena","♀","♂")</f>
        <v>♀</v>
      </c>
      <c r="C76" s="3" t="str">
        <f>CSV!H44&amp;" "&amp;CSV!I44</f>
        <v>Xelavi Alarm Beskyd</v>
      </c>
      <c r="D76" s="3" t="str">
        <f>CSV!T44</f>
        <v>Třída otevřená</v>
      </c>
      <c r="E76" s="4" t="s">
        <v>16</v>
      </c>
      <c r="F76" s="1" t="str">
        <f>CSV!V44</f>
        <v>Knírač střední - pepř a sůl</v>
      </c>
    </row>
    <row r="77" spans="1:6" ht="15" customHeight="1">
      <c r="A77" s="5">
        <f>CSV!C45</f>
        <v>44</v>
      </c>
      <c r="B77" s="28" t="str">
        <f>IF(CSV!AG45="fena","♀","♂")</f>
        <v>♀</v>
      </c>
      <c r="C77" s="5" t="str">
        <f>CSV!H45&amp;" "&amp;CSV!I45</f>
        <v>Justine Fortuna Moravia</v>
      </c>
      <c r="D77" s="5" t="str">
        <f>CSV!T45</f>
        <v>Třída vítězů</v>
      </c>
      <c r="E77" s="6" t="s">
        <v>615</v>
      </c>
      <c r="F77" s="1" t="str">
        <f>CSV!V45</f>
        <v>Knírač střední - pepř a sůl</v>
      </c>
    </row>
    <row r="78" spans="1:6" ht="15" customHeight="1">
      <c r="B78" s="1"/>
      <c r="E78" s="1"/>
    </row>
    <row r="79" spans="1:6" ht="15" customHeight="1">
      <c r="A79" s="35" t="str">
        <f>F83</f>
        <v>Knírač velký - černý</v>
      </c>
      <c r="B79" s="35"/>
      <c r="C79" s="35"/>
      <c r="D79" s="35"/>
      <c r="E79" s="35"/>
    </row>
    <row r="80" spans="1:6" ht="15" customHeight="1">
      <c r="A80" s="1" t="s">
        <v>0</v>
      </c>
    </row>
    <row r="81" spans="1:6" ht="15" customHeight="1">
      <c r="A81" s="1" t="str">
        <f>CSV!Z53</f>
        <v xml:space="preserve">Ing. Danuše Kotalová </v>
      </c>
    </row>
    <row r="82" spans="1:6" ht="15" customHeight="1">
      <c r="A82" s="7" t="s">
        <v>44</v>
      </c>
      <c r="B82" s="26"/>
      <c r="C82" s="7" t="s">
        <v>4</v>
      </c>
      <c r="D82" s="7" t="s">
        <v>3</v>
      </c>
      <c r="E82" s="8" t="s">
        <v>2</v>
      </c>
      <c r="F82" s="1" t="s">
        <v>610</v>
      </c>
    </row>
    <row r="83" spans="1:6" ht="15" customHeight="1">
      <c r="A83" s="3">
        <f>CSV!C46</f>
        <v>45</v>
      </c>
      <c r="B83" s="27" t="str">
        <f>IF(CSV!AG46="fena","♀","♂")</f>
        <v>♂</v>
      </c>
      <c r="C83" s="3" t="str">
        <f>CSV!H46&amp;" "&amp;CSV!I46</f>
        <v>Jonathan Radinie</v>
      </c>
      <c r="D83" s="3" t="str">
        <f>CSV!T46</f>
        <v>Třída mladých</v>
      </c>
      <c r="E83" s="4" t="s">
        <v>614</v>
      </c>
      <c r="F83" s="1" t="str">
        <f>CSV!V46</f>
        <v>Knírač velký - černý</v>
      </c>
    </row>
    <row r="84" spans="1:6" ht="15" customHeight="1">
      <c r="A84" s="3">
        <f>CSV!C47</f>
        <v>46</v>
      </c>
      <c r="B84" s="27" t="str">
        <f>IF(CSV!AG47="fena","♀","♂")</f>
        <v>♂</v>
      </c>
      <c r="C84" s="3" t="str">
        <f>CSV!H47&amp;" "&amp;CSV!I47</f>
        <v>Agir ze Zámku Lemberk</v>
      </c>
      <c r="D84" s="3" t="str">
        <f>CSV!T47</f>
        <v>Mezitřída</v>
      </c>
      <c r="E84" s="4" t="s">
        <v>612</v>
      </c>
      <c r="F84" s="1" t="str">
        <f>CSV!V47</f>
        <v>Knírač velký - černý</v>
      </c>
    </row>
    <row r="85" spans="1:6" ht="15" customHeight="1">
      <c r="A85" s="3">
        <f>CSV!C48</f>
        <v>47</v>
      </c>
      <c r="B85" s="27" t="str">
        <f>IF(CSV!AG48="fena","♀","♂")</f>
        <v>♂</v>
      </c>
      <c r="C85" s="3" t="str">
        <f>CSV!H48&amp;" "&amp;CSV!I48</f>
        <v>Casper Tender Savage</v>
      </c>
      <c r="D85" s="3" t="str">
        <f>CSV!T48</f>
        <v>Třída otevřená</v>
      </c>
      <c r="E85" s="4" t="s">
        <v>16</v>
      </c>
      <c r="F85" s="1" t="str">
        <f>CSV!V48</f>
        <v>Knírač velký - černý</v>
      </c>
    </row>
    <row r="86" spans="1:6" ht="15" customHeight="1">
      <c r="A86" s="3">
        <f>CSV!C49</f>
        <v>48</v>
      </c>
      <c r="B86" s="27" t="str">
        <f>IF(CSV!AG49="fena","♀","♂")</f>
        <v>♂</v>
      </c>
      <c r="C86" s="3" t="str">
        <f>CSV!H49&amp;" "&amp;CSV!I49</f>
        <v>Baloo Tender Savage</v>
      </c>
      <c r="D86" s="3" t="str">
        <f>CSV!T49</f>
        <v>Třída pracovní</v>
      </c>
      <c r="E86" s="4" t="s">
        <v>613</v>
      </c>
      <c r="F86" s="1" t="str">
        <f>CSV!V49</f>
        <v>Knírač velký - černý</v>
      </c>
    </row>
    <row r="87" spans="1:6" ht="15" customHeight="1">
      <c r="A87" s="3">
        <f>CSV!C50</f>
        <v>49</v>
      </c>
      <c r="B87" s="27" t="str">
        <f>IF(CSV!AG50="fena","♀","♂")</f>
        <v>♀</v>
      </c>
      <c r="C87" s="3" t="str">
        <f>CSV!H50&amp;" "&amp;CSV!I50</f>
        <v>DOREEN Giom Kastasi</v>
      </c>
      <c r="D87" s="3" t="str">
        <f>CSV!T50</f>
        <v>Třída štěňat</v>
      </c>
      <c r="E87" s="4" t="s">
        <v>45</v>
      </c>
      <c r="F87" s="1" t="str">
        <f>CSV!V50</f>
        <v>Knírač velký - černý</v>
      </c>
    </row>
    <row r="88" spans="1:6" ht="15" customHeight="1">
      <c r="A88" s="3">
        <f>CSV!C51</f>
        <v>50</v>
      </c>
      <c r="B88" s="27" t="str">
        <f>IF(CSV!AG51="fena","♀","♂")</f>
        <v>♀</v>
      </c>
      <c r="C88" s="3" t="str">
        <f>CSV!H51&amp;" "&amp;CSV!I51</f>
        <v>Queen Bee Ruby Sluneční paprsek</v>
      </c>
      <c r="D88" s="3" t="str">
        <f>CSV!T51</f>
        <v>Mezitřída</v>
      </c>
      <c r="E88" s="4" t="s">
        <v>612</v>
      </c>
      <c r="F88" s="1" t="str">
        <f>CSV!V51</f>
        <v>Knírač velký - černý</v>
      </c>
    </row>
    <row r="89" spans="1:6" ht="15" customHeight="1">
      <c r="A89" s="5">
        <f>CSV!C52</f>
        <v>51</v>
      </c>
      <c r="B89" s="28" t="str">
        <f>IF(CSV!AG52="fena","♀","♂")</f>
        <v>♀</v>
      </c>
      <c r="C89" s="5" t="str">
        <f>CSV!H52&amp;" "&amp;CSV!I52</f>
        <v>Julie  od Devíti vrb</v>
      </c>
      <c r="D89" s="5" t="str">
        <f>CSV!T52</f>
        <v>Třída otevřená</v>
      </c>
      <c r="E89" s="6" t="s">
        <v>624</v>
      </c>
      <c r="F89" s="1" t="str">
        <f>CSV!V52</f>
        <v>Knírač velký - černý</v>
      </c>
    </row>
    <row r="90" spans="1:6" ht="15" customHeight="1">
      <c r="B90" s="1"/>
      <c r="E90" s="1"/>
    </row>
    <row r="91" spans="1:6" ht="15" customHeight="1">
      <c r="A91" s="35" t="str">
        <f>F95</f>
        <v>Knírač velký - pepř a sůl</v>
      </c>
      <c r="B91" s="35"/>
      <c r="C91" s="35"/>
      <c r="D91" s="35"/>
      <c r="E91" s="35"/>
    </row>
    <row r="92" spans="1:6" ht="15" customHeight="1">
      <c r="A92" s="1" t="s">
        <v>0</v>
      </c>
    </row>
    <row r="93" spans="1:6" ht="15" customHeight="1">
      <c r="A93" s="1" t="str">
        <f>CSV!Z3</f>
        <v xml:space="preserve">Ing. Danuše Kotalová </v>
      </c>
    </row>
    <row r="94" spans="1:6" ht="15" customHeight="1">
      <c r="A94" s="7" t="s">
        <v>44</v>
      </c>
      <c r="B94" s="26"/>
      <c r="C94" s="7" t="s">
        <v>4</v>
      </c>
      <c r="D94" s="7" t="s">
        <v>3</v>
      </c>
      <c r="E94" s="8" t="s">
        <v>2</v>
      </c>
      <c r="F94" s="1" t="s">
        <v>610</v>
      </c>
    </row>
    <row r="95" spans="1:6" ht="15" customHeight="1">
      <c r="A95" s="9">
        <f>CSV!C53</f>
        <v>52</v>
      </c>
      <c r="B95" s="30" t="str">
        <f>IF(CSV!AG53="fena","♀","♂")</f>
        <v>♀</v>
      </c>
      <c r="C95" s="9" t="str">
        <f>CSV!H53&amp;" "&amp;CSV!I53</f>
        <v>Calamity Jean Habrůvka</v>
      </c>
      <c r="D95" s="9" t="str">
        <f>CSV!T53</f>
        <v>Třída mladých</v>
      </c>
      <c r="E95" s="8" t="s">
        <v>611</v>
      </c>
      <c r="F95" s="1" t="str">
        <f>CSV!V53</f>
        <v>Knírač velký - pepř a sůl</v>
      </c>
    </row>
    <row r="96" spans="1:6" ht="15" customHeight="1">
      <c r="B96" s="1"/>
      <c r="E96" s="1"/>
    </row>
    <row r="97" spans="1:5" ht="15" customHeight="1">
      <c r="B97" s="1"/>
      <c r="E97" s="1"/>
    </row>
    <row r="98" spans="1:5" ht="18.75">
      <c r="A98" s="20" t="s">
        <v>49</v>
      </c>
      <c r="B98" s="20"/>
      <c r="C98" s="20"/>
      <c r="D98" s="20"/>
      <c r="E98" s="20"/>
    </row>
    <row r="99" spans="1:5" ht="15" customHeight="1">
      <c r="A99" s="10" t="s">
        <v>618</v>
      </c>
      <c r="B99" s="17"/>
      <c r="C99" s="13" t="s">
        <v>51</v>
      </c>
      <c r="D99" s="36" t="str">
        <f>B71&amp;" "&amp;C71</f>
        <v>♀ Euforia  Gloria Leones</v>
      </c>
      <c r="E99" s="37"/>
    </row>
    <row r="100" spans="1:5" ht="15" customHeight="1">
      <c r="A100" s="11" t="s">
        <v>619</v>
      </c>
      <c r="B100" s="18"/>
      <c r="C100" s="15" t="s">
        <v>52</v>
      </c>
      <c r="D100" s="38" t="str">
        <f>B15&amp;" "&amp;C15</f>
        <v>♂ Amor z Kralické tiskárny</v>
      </c>
      <c r="E100" s="18"/>
    </row>
    <row r="101" spans="1:5" ht="15" customHeight="1">
      <c r="A101" s="11" t="s">
        <v>620</v>
      </c>
      <c r="B101" s="18"/>
      <c r="C101" s="15" t="s">
        <v>53</v>
      </c>
      <c r="D101" s="38" t="str">
        <f>B83&amp;" "&amp;C83</f>
        <v>♂ Jonathan Radinie</v>
      </c>
      <c r="E101" s="18"/>
    </row>
    <row r="102" spans="1:5" ht="15" customHeight="1">
      <c r="A102" s="11" t="s">
        <v>621</v>
      </c>
      <c r="B102" s="18"/>
      <c r="C102" s="15" t="s">
        <v>56</v>
      </c>
      <c r="D102" s="38" t="str">
        <f>B18&amp;" "&amp;C18</f>
        <v>♂ Bloom for Fatima  Monochrome</v>
      </c>
      <c r="E102" s="18"/>
    </row>
    <row r="103" spans="1:5" ht="15" customHeight="1">
      <c r="A103" s="11" t="s">
        <v>622</v>
      </c>
      <c r="B103" s="18"/>
      <c r="C103" s="15" t="s">
        <v>57</v>
      </c>
      <c r="D103" s="38" t="str">
        <f>B77&amp;" "&amp;C77</f>
        <v>♀ Justine Fortuna Moravia</v>
      </c>
      <c r="E103" s="18"/>
    </row>
    <row r="104" spans="1:5" ht="15" customHeight="1">
      <c r="A104" s="11" t="s">
        <v>623</v>
      </c>
      <c r="B104" s="18"/>
      <c r="C104" s="15" t="s">
        <v>58</v>
      </c>
      <c r="D104" s="38" t="str">
        <f>B89&amp;" "&amp;C89</f>
        <v>♀ Julie  od Devíti vrb</v>
      </c>
      <c r="E104" s="18"/>
    </row>
    <row r="105" spans="1:5" ht="15" customHeight="1">
      <c r="A105" s="12" t="s">
        <v>623</v>
      </c>
      <c r="B105" s="19"/>
      <c r="C105" s="16" t="s">
        <v>59</v>
      </c>
      <c r="D105" s="39" t="str">
        <f>B89&amp;" "&amp;C89</f>
        <v>♀ Julie  od Devíti vrb</v>
      </c>
      <c r="E105" s="19"/>
    </row>
  </sheetData>
  <mergeCells count="12">
    <mergeCell ref="A79:E79"/>
    <mergeCell ref="A91:E91"/>
    <mergeCell ref="A1:E1"/>
    <mergeCell ref="A2:E2"/>
    <mergeCell ref="A3:E3"/>
    <mergeCell ref="A5:E5"/>
    <mergeCell ref="A98:E98"/>
    <mergeCell ref="A11:E11"/>
    <mergeCell ref="A24:E24"/>
    <mergeCell ref="A37:E37"/>
    <mergeCell ref="A56:E56"/>
    <mergeCell ref="A66:E66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1"/>
  <sheetViews>
    <sheetView topLeftCell="A52" workbookViewId="0">
      <selection activeCell="D70" sqref="D70"/>
    </sheetView>
  </sheetViews>
  <sheetFormatPr defaultRowHeight="15"/>
  <cols>
    <col min="1" max="1" width="5.85546875" style="1" bestFit="1" customWidth="1"/>
    <col min="2" max="2" width="2.85546875" style="25" customWidth="1"/>
    <col min="3" max="3" width="35.7109375" style="1" customWidth="1"/>
    <col min="4" max="4" width="13.5703125" style="1" customWidth="1"/>
    <col min="5" max="5" width="37.140625" style="2" customWidth="1"/>
    <col min="6" max="6" width="9.140625" style="1" customWidth="1"/>
    <col min="7" max="7" width="9.140625" style="1"/>
    <col min="8" max="8" width="9.140625" style="1" customWidth="1"/>
    <col min="9" max="16384" width="9.140625" style="1"/>
  </cols>
  <sheetData>
    <row r="1" spans="1:6" ht="24.75">
      <c r="A1" s="22" t="s">
        <v>48</v>
      </c>
      <c r="B1" s="22"/>
      <c r="C1" s="22"/>
      <c r="D1" s="22"/>
      <c r="E1" s="22"/>
    </row>
    <row r="2" spans="1:6">
      <c r="A2" s="23" t="s">
        <v>76</v>
      </c>
      <c r="B2" s="23"/>
      <c r="C2" s="23"/>
      <c r="D2" s="23"/>
      <c r="E2" s="23"/>
    </row>
    <row r="3" spans="1:6">
      <c r="A3" s="23" t="s">
        <v>77</v>
      </c>
      <c r="B3" s="23"/>
      <c r="C3" s="23"/>
      <c r="D3" s="23"/>
      <c r="E3" s="23"/>
    </row>
    <row r="5" spans="1:6" ht="15.75">
      <c r="A5" s="21" t="s">
        <v>43</v>
      </c>
      <c r="B5" s="21"/>
      <c r="C5" s="21"/>
      <c r="D5" s="21"/>
      <c r="E5" s="21"/>
    </row>
    <row r="6" spans="1:6">
      <c r="A6" s="1" t="s">
        <v>0</v>
      </c>
    </row>
    <row r="7" spans="1:6">
      <c r="A7" s="1" t="str">
        <f>CSV!Z2</f>
        <v xml:space="preserve">Ing. Danuše Kotalová </v>
      </c>
    </row>
    <row r="8" spans="1:6">
      <c r="A8" s="7" t="s">
        <v>44</v>
      </c>
      <c r="B8" s="26"/>
      <c r="C8" s="7" t="s">
        <v>4</v>
      </c>
      <c r="D8" s="7" t="s">
        <v>3</v>
      </c>
      <c r="E8" s="8" t="s">
        <v>2</v>
      </c>
      <c r="F8" s="1" t="s">
        <v>610</v>
      </c>
    </row>
    <row r="9" spans="1:6">
      <c r="A9" s="31">
        <f>CSV!C2</f>
        <v>1</v>
      </c>
      <c r="B9" s="32" t="str">
        <f>IF(CSV!AG2="fena","♀","♂")</f>
        <v>♀</v>
      </c>
      <c r="C9" s="31" t="str">
        <f>CSV!H2&amp;" "&amp;CSV!I2</f>
        <v>Umberta Shadow White de Pepa</v>
      </c>
      <c r="D9" s="31" t="str">
        <f>CSV!T2</f>
        <v>Mezitřída</v>
      </c>
      <c r="E9" s="33"/>
      <c r="F9" s="1" t="str">
        <f>CSV!V2</f>
        <v>Knírač malý - bílý</v>
      </c>
    </row>
    <row r="10" spans="1:6">
      <c r="A10" s="3">
        <f>CSV!C3</f>
        <v>2</v>
      </c>
      <c r="B10" s="27" t="str">
        <f>IF(CSV!AG3="fena","♀","♂")</f>
        <v>♂</v>
      </c>
      <c r="C10" s="3" t="str">
        <f>CSV!H3&amp;" "&amp;CSV!I3</f>
        <v>Amor z Kralické tiskárny</v>
      </c>
      <c r="D10" s="3" t="str">
        <f>CSV!T3</f>
        <v>Třída dorostu</v>
      </c>
      <c r="E10" s="4"/>
      <c r="F10" s="1" t="str">
        <f>CSV!V3</f>
        <v>Knírač malý - černostříbřitý</v>
      </c>
    </row>
    <row r="11" spans="1:6">
      <c r="A11" s="3">
        <f>CSV!C4</f>
        <v>3</v>
      </c>
      <c r="B11" s="27" t="str">
        <f>IF(CSV!AG4="fena","♀","♂")</f>
        <v>♂</v>
      </c>
      <c r="C11" s="3" t="str">
        <f>CSV!H4&amp;" "&amp;CSV!I4</f>
        <v>Quick  Loučeňská tvrz</v>
      </c>
      <c r="D11" s="3" t="str">
        <f>CSV!T4</f>
        <v>Třída mladých</v>
      </c>
      <c r="E11" s="4"/>
      <c r="F11" s="1" t="str">
        <f>CSV!V4</f>
        <v>Knírač malý - černostříbřitý</v>
      </c>
    </row>
    <row r="12" spans="1:6">
      <c r="A12" s="3">
        <f>CSV!C5</f>
        <v>4</v>
      </c>
      <c r="B12" s="27" t="str">
        <f>IF(CSV!AG5="fena","♀","♂")</f>
        <v>♂</v>
      </c>
      <c r="C12" s="3" t="str">
        <f>CSV!H5&amp;" "&amp;CSV!I5</f>
        <v>Mobby z Devonu</v>
      </c>
      <c r="D12" s="3" t="str">
        <f>CSV!T5</f>
        <v>Mezitřída</v>
      </c>
      <c r="E12" s="4"/>
      <c r="F12" s="1" t="str">
        <f>CSV!V5</f>
        <v>Knírač malý - černostříbřitý</v>
      </c>
    </row>
    <row r="13" spans="1:6">
      <c r="A13" s="3">
        <f>CSV!C6</f>
        <v>5</v>
      </c>
      <c r="B13" s="27" t="str">
        <f>IF(CSV!AG6="fena","♀","♂")</f>
        <v>♂</v>
      </c>
      <c r="C13" s="3" t="str">
        <f>CSV!H6&amp;" "&amp;CSV!I6</f>
        <v>Bloom for Fatima  Monochrome</v>
      </c>
      <c r="D13" s="3" t="str">
        <f>CSV!T6</f>
        <v>Třída vítězů</v>
      </c>
      <c r="E13" s="4"/>
      <c r="F13" s="1" t="str">
        <f>CSV!V6</f>
        <v>Knírač malý - černostříbřitý</v>
      </c>
    </row>
    <row r="14" spans="1:6">
      <c r="A14" s="3">
        <f>CSV!C7</f>
        <v>6</v>
      </c>
      <c r="B14" s="27" t="str">
        <f>IF(CSV!AG7="fena","♀","♂")</f>
        <v>♂</v>
      </c>
      <c r="C14" s="3" t="str">
        <f>CSV!H7&amp;" "&amp;CSV!I7</f>
        <v>Hypersonic Whisper of Wind</v>
      </c>
      <c r="D14" s="3" t="str">
        <f>CSV!T7</f>
        <v>Třída čestná</v>
      </c>
      <c r="E14" s="4"/>
      <c r="F14" s="1" t="str">
        <f>CSV!V7</f>
        <v>Knírač malý - černostříbřitý</v>
      </c>
    </row>
    <row r="15" spans="1:6">
      <c r="A15" s="3">
        <f>CSV!C8</f>
        <v>7</v>
      </c>
      <c r="B15" s="27" t="str">
        <f>IF(CSV!AG8="fena","♀","♂")</f>
        <v>♀</v>
      </c>
      <c r="C15" s="3" t="str">
        <f>CSV!H8&amp;" "&amp;CSV!I8</f>
        <v>Lakki  z Devonu</v>
      </c>
      <c r="D15" s="3" t="str">
        <f>CSV!T8</f>
        <v>Mezitřída</v>
      </c>
      <c r="E15" s="4"/>
      <c r="F15" s="1" t="str">
        <f>CSV!V8</f>
        <v>Knírač malý - černostříbřitý</v>
      </c>
    </row>
    <row r="16" spans="1:6">
      <c r="A16" s="3">
        <f>CSV!C9</f>
        <v>8</v>
      </c>
      <c r="B16" s="27" t="str">
        <f>IF(CSV!AG9="fena","♀","♂")</f>
        <v>♀</v>
      </c>
      <c r="C16" s="3" t="str">
        <f>CSV!H9&amp;" "&amp;CSV!I9</f>
        <v>Aiwen Adelmarchi</v>
      </c>
      <c r="D16" s="3" t="str">
        <f>CSV!T9</f>
        <v>Třída otevřená</v>
      </c>
      <c r="E16" s="4"/>
      <c r="F16" s="1" t="str">
        <f>CSV!V9</f>
        <v>Knírač malý - černostříbřitý</v>
      </c>
    </row>
    <row r="17" spans="1:6">
      <c r="A17" s="3">
        <f>CSV!C10</f>
        <v>9</v>
      </c>
      <c r="B17" s="27" t="str">
        <f>IF(CSV!AG10="fena","♀","♂")</f>
        <v>♀</v>
      </c>
      <c r="C17" s="3" t="str">
        <f>CSV!H10&amp;" "&amp;CSV!I10</f>
        <v>Briana z Agova dvora</v>
      </c>
      <c r="D17" s="3" t="str">
        <f>CSV!T10</f>
        <v>Třída otevřená</v>
      </c>
      <c r="E17" s="4"/>
      <c r="F17" s="1" t="str">
        <f>CSV!V10</f>
        <v>Knírač malý - černostříbřitý</v>
      </c>
    </row>
    <row r="18" spans="1:6">
      <c r="A18" s="3">
        <f>CSV!C11</f>
        <v>10</v>
      </c>
      <c r="B18" s="27" t="str">
        <f>IF(CSV!AG11="fena","♀","♂")</f>
        <v>♂</v>
      </c>
      <c r="C18" s="3" t="str">
        <f>CSV!H11&amp;" "&amp;CSV!I11</f>
        <v>Iordanis Aknara Black</v>
      </c>
      <c r="D18" s="3" t="str">
        <f>CSV!T11</f>
        <v>Třída mladých</v>
      </c>
      <c r="E18" s="4"/>
      <c r="F18" s="1" t="str">
        <f>CSV!V11</f>
        <v>Knírač malý - černý</v>
      </c>
    </row>
    <row r="19" spans="1:6">
      <c r="A19" s="3">
        <f>CSV!C12</f>
        <v>11</v>
      </c>
      <c r="B19" s="27" t="str">
        <f>IF(CSV!AG12="fena","♀","♂")</f>
        <v>♂</v>
      </c>
      <c r="C19" s="3" t="str">
        <f>CSV!H12&amp;" "&amp;CSV!I12</f>
        <v xml:space="preserve">King Diamond  Dowry Style </v>
      </c>
      <c r="D19" s="3" t="str">
        <f>CSV!T12</f>
        <v>Třída mladých</v>
      </c>
      <c r="E19" s="4"/>
      <c r="F19" s="1" t="str">
        <f>CSV!V12</f>
        <v>Knírač malý - černý</v>
      </c>
    </row>
    <row r="20" spans="1:6">
      <c r="A20" s="3">
        <f>CSV!C13</f>
        <v>12</v>
      </c>
      <c r="B20" s="27" t="str">
        <f>IF(CSV!AG13="fena","♀","♂")</f>
        <v>♂</v>
      </c>
      <c r="C20" s="3" t="str">
        <f>CSV!H13&amp;" "&amp;CSV!I13</f>
        <v>Nicolas Androis</v>
      </c>
      <c r="D20" s="3" t="str">
        <f>CSV!T13</f>
        <v>Třída vítězů</v>
      </c>
      <c r="E20" s="4"/>
      <c r="F20" s="1" t="str">
        <f>CSV!V13</f>
        <v>Knírač malý - černý</v>
      </c>
    </row>
    <row r="21" spans="1:6">
      <c r="A21" s="3">
        <f>CSV!C14</f>
        <v>13</v>
      </c>
      <c r="B21" s="27" t="str">
        <f>IF(CSV!AG14="fena","♀","♂")</f>
        <v>♀</v>
      </c>
      <c r="C21" s="3" t="str">
        <f>CSV!H14&amp;" "&amp;CSV!I14</f>
        <v>Geneviev Velesstar</v>
      </c>
      <c r="D21" s="3" t="str">
        <f>CSV!T14</f>
        <v>Třída mladých</v>
      </c>
      <c r="E21" s="4"/>
      <c r="F21" s="1" t="str">
        <f>CSV!V14</f>
        <v>Knírač malý - černý</v>
      </c>
    </row>
    <row r="22" spans="1:6">
      <c r="A22" s="3">
        <f>CSV!C15</f>
        <v>14</v>
      </c>
      <c r="B22" s="27" t="str">
        <f>IF(CSV!AG15="fena","♀","♂")</f>
        <v>♀</v>
      </c>
      <c r="C22" s="3" t="str">
        <f>CSV!H15&amp;" "&amp;CSV!I15</f>
        <v>Jackelin Phantom of Europe</v>
      </c>
      <c r="D22" s="3" t="str">
        <f>CSV!T15</f>
        <v>Mezitřída</v>
      </c>
      <c r="E22" s="4"/>
      <c r="F22" s="1" t="str">
        <f>CSV!V15</f>
        <v>Knírač malý - černý</v>
      </c>
    </row>
    <row r="23" spans="1:6">
      <c r="A23" s="3">
        <f>CSV!C16</f>
        <v>15</v>
      </c>
      <c r="B23" s="27" t="str">
        <f>IF(CSV!AG16="fena","♀","♂")</f>
        <v>♀</v>
      </c>
      <c r="C23" s="3" t="str">
        <f>CSV!H16&amp;" "&amp;CSV!I16</f>
        <v>Yasmina von der Satans Meute</v>
      </c>
      <c r="D23" s="3" t="str">
        <f>CSV!T16</f>
        <v>Mezitřída</v>
      </c>
      <c r="E23" s="4"/>
      <c r="F23" s="1" t="str">
        <f>CSV!V16</f>
        <v>Knírač malý - černý</v>
      </c>
    </row>
    <row r="24" spans="1:6">
      <c r="A24" s="3">
        <f>CSV!C17</f>
        <v>16</v>
      </c>
      <c r="B24" s="27" t="str">
        <f>IF(CSV!AG17="fena","♀","♂")</f>
        <v>♀</v>
      </c>
      <c r="C24" s="3" t="str">
        <f>CSV!H17&amp;" "&amp;CSV!I17</f>
        <v>Orchidea Black Androis</v>
      </c>
      <c r="D24" s="3" t="str">
        <f>CSV!T17</f>
        <v>Třída otevřená</v>
      </c>
      <c r="E24" s="4"/>
      <c r="F24" s="1" t="str">
        <f>CSV!V17</f>
        <v>Knírač malý - černý</v>
      </c>
    </row>
    <row r="25" spans="1:6">
      <c r="A25" s="3">
        <f>CSV!C18</f>
        <v>17</v>
      </c>
      <c r="B25" s="27" t="str">
        <f>IF(CSV!AG18="fena","♀","♂")</f>
        <v>♀</v>
      </c>
      <c r="C25" s="3" t="str">
        <f>CSV!H18&amp;" "&amp;CSV!I18</f>
        <v>Marianne  Androis</v>
      </c>
      <c r="D25" s="3" t="str">
        <f>CSV!T18</f>
        <v>Třída vítězů</v>
      </c>
      <c r="E25" s="4"/>
      <c r="F25" s="1" t="str">
        <f>CSV!V18</f>
        <v>Knírač malý - černý</v>
      </c>
    </row>
    <row r="26" spans="1:6">
      <c r="A26" s="3">
        <f>CSV!C19</f>
        <v>18</v>
      </c>
      <c r="B26" s="27" t="str">
        <f>IF(CSV!AG19="fena","♀","♂")</f>
        <v>♂</v>
      </c>
      <c r="C26" s="3" t="str">
        <f>CSV!H19&amp;" "&amp;CSV!I19</f>
        <v>Rumcajs z Kosířských hvozdů</v>
      </c>
      <c r="D26" s="3" t="str">
        <f>CSV!T19</f>
        <v>Třída štěňat</v>
      </c>
      <c r="E26" s="4"/>
      <c r="F26" s="1" t="str">
        <f>CSV!V19</f>
        <v>Knírač malý - pepř a sůl</v>
      </c>
    </row>
    <row r="27" spans="1:6">
      <c r="A27" s="3">
        <f>CSV!C20</f>
        <v>19</v>
      </c>
      <c r="B27" s="27" t="str">
        <f>IF(CSV!AG20="fena","♀","♂")</f>
        <v>♂</v>
      </c>
      <c r="C27" s="3" t="str">
        <f>CSV!H20&amp;" "&amp;CSV!I20</f>
        <v>Hike Nebia</v>
      </c>
      <c r="D27" s="3" t="str">
        <f>CSV!T20</f>
        <v>Třída mladých</v>
      </c>
      <c r="E27" s="4"/>
      <c r="F27" s="1" t="str">
        <f>CSV!V20</f>
        <v>Knírač malý - pepř a sůl</v>
      </c>
    </row>
    <row r="28" spans="1:6">
      <c r="A28" s="3">
        <f>CSV!C21</f>
        <v>20</v>
      </c>
      <c r="B28" s="27" t="str">
        <f>IF(CSV!AG21="fena","♀","♂")</f>
        <v>♂</v>
      </c>
      <c r="C28" s="3" t="str">
        <f>CSV!H21&amp;" "&amp;CSV!I21</f>
        <v>BlackKiss  z Penzionu Axa</v>
      </c>
      <c r="D28" s="3" t="str">
        <f>CSV!T21</f>
        <v>Mezitřída</v>
      </c>
      <c r="E28" s="4"/>
      <c r="F28" s="1" t="str">
        <f>CSV!V21</f>
        <v>Knírač malý - pepř a sůl</v>
      </c>
    </row>
    <row r="29" spans="1:6">
      <c r="A29" s="3">
        <f>CSV!C22</f>
        <v>21</v>
      </c>
      <c r="B29" s="27" t="str">
        <f>IF(CSV!AG22="fena","♀","♂")</f>
        <v>♂</v>
      </c>
      <c r="C29" s="3" t="str">
        <f>CSV!H22&amp;" "&amp;CSV!I22</f>
        <v>Aldo Adelle Silver Stone</v>
      </c>
      <c r="D29" s="3" t="str">
        <f>CSV!T22</f>
        <v>Třída otevřená</v>
      </c>
      <c r="E29" s="4"/>
      <c r="F29" s="1" t="str">
        <f>CSV!V22</f>
        <v>Knírač malý - pepř a sůl</v>
      </c>
    </row>
    <row r="30" spans="1:6">
      <c r="A30" s="3">
        <f>CSV!C23</f>
        <v>22</v>
      </c>
      <c r="B30" s="27" t="str">
        <f>IF(CSV!AG23="fena","♀","♂")</f>
        <v>♂</v>
      </c>
      <c r="C30" s="3" t="str">
        <f>CSV!H23&amp;" "&amp;CSV!I23</f>
        <v>Dobby Isso Hummergrey</v>
      </c>
      <c r="D30" s="3" t="str">
        <f>CSV!T23</f>
        <v>Třída otevřená</v>
      </c>
      <c r="E30" s="4"/>
      <c r="F30" s="1" t="str">
        <f>CSV!V23</f>
        <v>Knírač malý - pepř a sůl</v>
      </c>
    </row>
    <row r="31" spans="1:6">
      <c r="A31" s="3">
        <f>CSV!C24</f>
        <v>23</v>
      </c>
      <c r="B31" s="27" t="str">
        <f>IF(CSV!AG24="fena","♀","♂")</f>
        <v>♂</v>
      </c>
      <c r="C31" s="3" t="str">
        <f>CSV!H24&amp;" "&amp;CSV!I24</f>
        <v>Norik z Agova dvora</v>
      </c>
      <c r="D31" s="3" t="str">
        <f>CSV!T24</f>
        <v>Třída otevřená</v>
      </c>
      <c r="E31" s="4"/>
      <c r="F31" s="1" t="str">
        <f>CSV!V24</f>
        <v>Knírač malý - pepř a sůl</v>
      </c>
    </row>
    <row r="32" spans="1:6">
      <c r="A32" s="3">
        <f>CSV!C25</f>
        <v>24</v>
      </c>
      <c r="B32" s="27" t="str">
        <f>IF(CSV!AG25="fena","♀","♂")</f>
        <v>♂</v>
      </c>
      <c r="C32" s="3" t="str">
        <f>CSV!H25&amp;" "&amp;CSV!I25</f>
        <v>Arsenal Kashmir  z Penzionu Axa</v>
      </c>
      <c r="D32" s="3" t="str">
        <f>CSV!T25</f>
        <v>Třída vítězů</v>
      </c>
      <c r="E32" s="4"/>
      <c r="F32" s="1" t="str">
        <f>CSV!V25</f>
        <v>Knírač malý - pepř a sůl</v>
      </c>
    </row>
    <row r="33" spans="1:6">
      <c r="A33" s="3">
        <f>CSV!C26</f>
        <v>25</v>
      </c>
      <c r="B33" s="27" t="str">
        <f>IF(CSV!AG26="fena","♀","♂")</f>
        <v>♂</v>
      </c>
      <c r="C33" s="3" t="str">
        <f>CSV!H26&amp;" "&amp;CSV!I26</f>
        <v>Quentin Owen z Barokamu</v>
      </c>
      <c r="D33" s="3" t="str">
        <f>CSV!T26</f>
        <v>Třída veteránů</v>
      </c>
      <c r="E33" s="4"/>
      <c r="F33" s="1" t="str">
        <f>CSV!V26</f>
        <v>Knírač malý - pepř a sůl</v>
      </c>
    </row>
    <row r="34" spans="1:6">
      <c r="A34" s="3">
        <f>CSV!C27</f>
        <v>26</v>
      </c>
      <c r="B34" s="27" t="str">
        <f>IF(CSV!AG27="fena","♀","♂")</f>
        <v>♀</v>
      </c>
      <c r="C34" s="3" t="str">
        <f>CSV!H27&amp;" "&amp;CSV!I27</f>
        <v>Alexis Adelle Silver Stone</v>
      </c>
      <c r="D34" s="3" t="str">
        <f>CSV!T27</f>
        <v>Třída mladých</v>
      </c>
      <c r="E34" s="4"/>
      <c r="F34" s="1" t="str">
        <f>CSV!V27</f>
        <v>Knírač malý - pepř a sůl</v>
      </c>
    </row>
    <row r="35" spans="1:6">
      <c r="A35" s="3">
        <f>CSV!C28</f>
        <v>27</v>
      </c>
      <c r="B35" s="27" t="str">
        <f>IF(CSV!AG28="fena","♀","♂")</f>
        <v>♀</v>
      </c>
      <c r="C35" s="3" t="str">
        <f>CSV!H28&amp;" "&amp;CSV!I28</f>
        <v>Josefina Qwin Astronaut</v>
      </c>
      <c r="D35" s="3" t="str">
        <f>CSV!T28</f>
        <v>Mezitřída</v>
      </c>
      <c r="E35" s="4"/>
      <c r="F35" s="1" t="str">
        <f>CSV!V28</f>
        <v>Knírač malý - pepř a sůl</v>
      </c>
    </row>
    <row r="36" spans="1:6">
      <c r="A36" s="3">
        <f>CSV!C29</f>
        <v>28</v>
      </c>
      <c r="B36" s="27" t="str">
        <f>IF(CSV!AG29="fena","♀","♂")</f>
        <v>♀</v>
      </c>
      <c r="C36" s="3" t="str">
        <f>CSV!H29&amp;" "&amp;CSV!I29</f>
        <v>Becky von Balahibo</v>
      </c>
      <c r="D36" s="3" t="str">
        <f>CSV!T29</f>
        <v>Třída otevřená</v>
      </c>
      <c r="E36" s="4"/>
      <c r="F36" s="1" t="str">
        <f>CSV!V29</f>
        <v>Knírač malý - pepř a sůl</v>
      </c>
    </row>
    <row r="37" spans="1:6">
      <c r="A37" s="3">
        <f>CSV!C30</f>
        <v>29</v>
      </c>
      <c r="B37" s="27" t="str">
        <f>IF(CSV!AG30="fena","♀","♂")</f>
        <v>♀</v>
      </c>
      <c r="C37" s="3" t="str">
        <f>CSV!H30&amp;" "&amp;CSV!I30</f>
        <v>Oxy z Agova dvora</v>
      </c>
      <c r="D37" s="3" t="str">
        <f>CSV!T30</f>
        <v>Třída otevřená</v>
      </c>
      <c r="E37" s="4"/>
      <c r="F37" s="1" t="str">
        <f>CSV!V30</f>
        <v>Knírač malý - pepř a sůl</v>
      </c>
    </row>
    <row r="38" spans="1:6">
      <c r="A38" s="3">
        <f>CSV!C31</f>
        <v>30</v>
      </c>
      <c r="B38" s="27" t="str">
        <f>IF(CSV!AG31="fena","♀","♂")</f>
        <v>♀</v>
      </c>
      <c r="C38" s="3" t="str">
        <f>CSV!H31&amp;" "&amp;CSV!I31</f>
        <v>Peggy z Kosířských hvozdů</v>
      </c>
      <c r="D38" s="3" t="str">
        <f>CSV!T31</f>
        <v>Třída otevřená</v>
      </c>
      <c r="E38" s="4"/>
      <c r="F38" s="1" t="str">
        <f>CSV!V31</f>
        <v>Knírač malý - pepř a sůl</v>
      </c>
    </row>
    <row r="39" spans="1:6">
      <c r="A39" s="3">
        <f>CSV!C32</f>
        <v>31</v>
      </c>
      <c r="B39" s="27" t="str">
        <f>IF(CSV!AG32="fena","♀","♂")</f>
        <v>♀</v>
      </c>
      <c r="C39" s="3" t="str">
        <f>CSV!H32&amp;" "&amp;CSV!I32</f>
        <v>Michelle Pepper Androis</v>
      </c>
      <c r="D39" s="3" t="str">
        <f>CSV!T32</f>
        <v>Třída vítězů</v>
      </c>
      <c r="E39" s="4"/>
      <c r="F39" s="1" t="str">
        <f>CSV!V32</f>
        <v>Knírač malý - pepř a sůl</v>
      </c>
    </row>
    <row r="40" spans="1:6">
      <c r="A40" s="3">
        <f>CSV!C33</f>
        <v>32</v>
      </c>
      <c r="B40" s="27" t="str">
        <f>IF(CSV!AG33="fena","♀","♂")</f>
        <v>♂</v>
      </c>
      <c r="C40" s="3" t="str">
        <f>CSV!H33&amp;" "&amp;CSV!I33</f>
        <v>RICARDO CHERNI STRAZHNIK</v>
      </c>
      <c r="D40" s="3" t="str">
        <f>CSV!T33</f>
        <v>Mezitřída</v>
      </c>
      <c r="E40" s="4"/>
      <c r="F40" s="1" t="str">
        <f>CSV!V33</f>
        <v>Knírač střední - černý</v>
      </c>
    </row>
    <row r="41" spans="1:6">
      <c r="A41" s="3">
        <f>CSV!C34</f>
        <v>33</v>
      </c>
      <c r="B41" s="27" t="str">
        <f>IF(CSV!AG34="fena","♀","♂")</f>
        <v>♀</v>
      </c>
      <c r="C41" s="3" t="str">
        <f>CSV!H34&amp;" "&amp;CSV!I34</f>
        <v>Gita z Hofjaru</v>
      </c>
      <c r="D41" s="3" t="str">
        <f>CSV!T34</f>
        <v>Třída mladých</v>
      </c>
      <c r="E41" s="4"/>
      <c r="F41" s="1" t="str">
        <f>CSV!V34</f>
        <v>Knírač střední - černý</v>
      </c>
    </row>
    <row r="42" spans="1:6">
      <c r="A42" s="3">
        <f>CSV!C35</f>
        <v>34</v>
      </c>
      <c r="B42" s="27" t="str">
        <f>IF(CSV!AG35="fena","♀","♂")</f>
        <v>♀</v>
      </c>
      <c r="C42" s="3" t="str">
        <f>CSV!H35&amp;" "&amp;CSV!I35</f>
        <v>Chess od Dalajského potoka</v>
      </c>
      <c r="D42" s="3" t="str">
        <f>CSV!T35</f>
        <v>Mezitřída</v>
      </c>
      <c r="E42" s="4"/>
      <c r="F42" s="1" t="str">
        <f>CSV!V35</f>
        <v>Knírač střední - černý</v>
      </c>
    </row>
    <row r="43" spans="1:6">
      <c r="A43" s="3">
        <f>CSV!C36</f>
        <v>35</v>
      </c>
      <c r="B43" s="27" t="str">
        <f>IF(CSV!AG36="fena","♀","♂")</f>
        <v>♀</v>
      </c>
      <c r="C43" s="3" t="str">
        <f>CSV!H36&amp;" "&amp;CSV!I36</f>
        <v>Akéla Bagsin dvůr</v>
      </c>
      <c r="D43" s="3" t="str">
        <f>CSV!T36</f>
        <v>Třída otevřená</v>
      </c>
      <c r="E43" s="4"/>
      <c r="F43" s="1" t="str">
        <f>CSV!V36</f>
        <v>Knírač střední - černý</v>
      </c>
    </row>
    <row r="44" spans="1:6">
      <c r="A44" s="3">
        <f>CSV!C37</f>
        <v>36</v>
      </c>
      <c r="B44" s="27" t="str">
        <f>IF(CSV!AG37="fena","♀","♂")</f>
        <v>♀</v>
      </c>
      <c r="C44" s="3" t="str">
        <f>CSV!H37&amp;" "&amp;CSV!I37</f>
        <v>Paulie Iringa</v>
      </c>
      <c r="D44" s="3" t="str">
        <f>CSV!T37</f>
        <v>Třída vítězů</v>
      </c>
      <c r="E44" s="4"/>
      <c r="F44" s="1" t="str">
        <f>CSV!V37</f>
        <v>Knírač střední - černý</v>
      </c>
    </row>
    <row r="45" spans="1:6">
      <c r="A45" s="3">
        <f>CSV!C38</f>
        <v>37</v>
      </c>
      <c r="B45" s="27" t="str">
        <f>IF(CSV!AG38="fena","♀","♂")</f>
        <v>♂</v>
      </c>
      <c r="C45" s="3" t="str">
        <f>CSV!H38&amp;" "&amp;CSV!I38</f>
        <v>MONTY Fortuna Moravia</v>
      </c>
      <c r="D45" s="3" t="str">
        <f>CSV!T38</f>
        <v>Třída mladých</v>
      </c>
      <c r="E45" s="4"/>
      <c r="F45" s="1" t="str">
        <f>CSV!V38</f>
        <v>Knírač střední - pepř a sůl</v>
      </c>
    </row>
    <row r="46" spans="1:6">
      <c r="A46" s="3">
        <f>CSV!C39</f>
        <v>38</v>
      </c>
      <c r="B46" s="27" t="str">
        <f>IF(CSV!AG39="fena","♀","♂")</f>
        <v>♀</v>
      </c>
      <c r="C46" s="3" t="str">
        <f>CSV!H39&amp;" "&amp;CSV!I39</f>
        <v>Euforia  Gloria Leones</v>
      </c>
      <c r="D46" s="3" t="str">
        <f>CSV!T39</f>
        <v>Třída štěňat</v>
      </c>
      <c r="E46" s="4"/>
      <c r="F46" s="1" t="str">
        <f>CSV!V39</f>
        <v>Knírač střední - pepř a sůl</v>
      </c>
    </row>
    <row r="47" spans="1:6">
      <c r="A47" s="3">
        <f>CSV!C40</f>
        <v>39</v>
      </c>
      <c r="B47" s="27" t="str">
        <f>IF(CSV!AG40="fena","♀","♂")</f>
        <v>♀</v>
      </c>
      <c r="C47" s="3" t="str">
        <f>CSV!H40&amp;" "&amp;CSV!I40</f>
        <v>Molly Fortuna Moravia</v>
      </c>
      <c r="D47" s="3" t="str">
        <f>CSV!T40</f>
        <v>Třída mladých</v>
      </c>
      <c r="E47" s="4"/>
      <c r="F47" s="1" t="str">
        <f>CSV!V40</f>
        <v>Knírač střední - pepř a sůl</v>
      </c>
    </row>
    <row r="48" spans="1:6">
      <c r="A48" s="3">
        <f>CSV!C41</f>
        <v>40</v>
      </c>
      <c r="B48" s="27" t="str">
        <f>IF(CSV!AG41="fena","♀","♂")</f>
        <v>♀</v>
      </c>
      <c r="C48" s="3" t="str">
        <f>CSV!H41&amp;" "&amp;CSV!I41</f>
        <v>Brixa Veselá kopa Veselá kopa</v>
      </c>
      <c r="D48" s="3" t="str">
        <f>CSV!T41</f>
        <v>Mezitřída</v>
      </c>
      <c r="E48" s="4"/>
      <c r="F48" s="1" t="str">
        <f>CSV!V41</f>
        <v>Knírač střední - pepř a sůl</v>
      </c>
    </row>
    <row r="49" spans="1:6">
      <c r="A49" s="3">
        <f>CSV!C42</f>
        <v>41</v>
      </c>
      <c r="B49" s="27" t="str">
        <f>IF(CSV!AG42="fena","♀","♂")</f>
        <v>♀</v>
      </c>
      <c r="C49" s="3" t="str">
        <f>CSV!H42&amp;" "&amp;CSV!I42</f>
        <v>Fidorka Alarm Beskyd</v>
      </c>
      <c r="D49" s="3" t="str">
        <f>CSV!T42</f>
        <v>Mezitřída</v>
      </c>
      <c r="E49" s="4"/>
      <c r="F49" s="1" t="str">
        <f>CSV!V42</f>
        <v>Knírač střední - pepř a sůl</v>
      </c>
    </row>
    <row r="50" spans="1:6">
      <c r="A50" s="3">
        <f>CSV!C43</f>
        <v>42</v>
      </c>
      <c r="B50" s="27" t="str">
        <f>IF(CSV!AG43="fena","♀","♂")</f>
        <v>♀</v>
      </c>
      <c r="C50" s="3" t="str">
        <f>CSV!H43&amp;" "&amp;CSV!I43</f>
        <v>Tara Pepper Grand Calvera</v>
      </c>
      <c r="D50" s="3" t="str">
        <f>CSV!T43</f>
        <v>Třída otevřená</v>
      </c>
      <c r="E50" s="4"/>
      <c r="F50" s="1" t="str">
        <f>CSV!V43</f>
        <v>Knírač střední - pepř a sůl</v>
      </c>
    </row>
    <row r="51" spans="1:6">
      <c r="A51" s="3">
        <f>CSV!C44</f>
        <v>43</v>
      </c>
      <c r="B51" s="27" t="str">
        <f>IF(CSV!AG44="fena","♀","♂")</f>
        <v>♀</v>
      </c>
      <c r="C51" s="3" t="str">
        <f>CSV!H44&amp;" "&amp;CSV!I44</f>
        <v>Xelavi Alarm Beskyd</v>
      </c>
      <c r="D51" s="3" t="str">
        <f>CSV!T44</f>
        <v>Třída otevřená</v>
      </c>
      <c r="E51" s="4"/>
      <c r="F51" s="1" t="str">
        <f>CSV!V44</f>
        <v>Knírač střední - pepř a sůl</v>
      </c>
    </row>
    <row r="52" spans="1:6">
      <c r="A52" s="3">
        <f>CSV!C45</f>
        <v>44</v>
      </c>
      <c r="B52" s="27" t="str">
        <f>IF(CSV!AG45="fena","♀","♂")</f>
        <v>♀</v>
      </c>
      <c r="C52" s="3" t="str">
        <f>CSV!H45&amp;" "&amp;CSV!I45</f>
        <v>Justine Fortuna Moravia</v>
      </c>
      <c r="D52" s="3" t="str">
        <f>CSV!T45</f>
        <v>Třída vítězů</v>
      </c>
      <c r="E52" s="4"/>
      <c r="F52" s="1" t="str">
        <f>CSV!V45</f>
        <v>Knírač střední - pepř a sůl</v>
      </c>
    </row>
    <row r="53" spans="1:6">
      <c r="A53" s="3">
        <f>CSV!C46</f>
        <v>45</v>
      </c>
      <c r="B53" s="27" t="str">
        <f>IF(CSV!AG46="fena","♀","♂")</f>
        <v>♂</v>
      </c>
      <c r="C53" s="3" t="str">
        <f>CSV!H46&amp;" "&amp;CSV!I46</f>
        <v>Jonathan Radinie</v>
      </c>
      <c r="D53" s="3" t="str">
        <f>CSV!T46</f>
        <v>Třída mladých</v>
      </c>
      <c r="E53" s="4"/>
      <c r="F53" s="1" t="str">
        <f>CSV!V46</f>
        <v>Knírač velký - černý</v>
      </c>
    </row>
    <row r="54" spans="1:6">
      <c r="A54" s="3">
        <f>CSV!C47</f>
        <v>46</v>
      </c>
      <c r="B54" s="27" t="str">
        <f>IF(CSV!AG47="fena","♀","♂")</f>
        <v>♂</v>
      </c>
      <c r="C54" s="3" t="str">
        <f>CSV!H47&amp;" "&amp;CSV!I47</f>
        <v>Agir ze Zámku Lemberk</v>
      </c>
      <c r="D54" s="3" t="str">
        <f>CSV!T47</f>
        <v>Mezitřída</v>
      </c>
      <c r="E54" s="4"/>
      <c r="F54" s="1" t="str">
        <f>CSV!V47</f>
        <v>Knírač velký - černý</v>
      </c>
    </row>
    <row r="55" spans="1:6">
      <c r="A55" s="3">
        <f>CSV!C48</f>
        <v>47</v>
      </c>
      <c r="B55" s="27" t="str">
        <f>IF(CSV!AG48="fena","♀","♂")</f>
        <v>♂</v>
      </c>
      <c r="C55" s="3" t="str">
        <f>CSV!H48&amp;" "&amp;CSV!I48</f>
        <v>Casper Tender Savage</v>
      </c>
      <c r="D55" s="3" t="str">
        <f>CSV!T48</f>
        <v>Třída otevřená</v>
      </c>
      <c r="E55" s="4"/>
      <c r="F55" s="1" t="str">
        <f>CSV!V48</f>
        <v>Knírač velký - černý</v>
      </c>
    </row>
    <row r="56" spans="1:6">
      <c r="A56" s="3">
        <f>CSV!C49</f>
        <v>48</v>
      </c>
      <c r="B56" s="27" t="str">
        <f>IF(CSV!AG49="fena","♀","♂")</f>
        <v>♂</v>
      </c>
      <c r="C56" s="3" t="str">
        <f>CSV!H49&amp;" "&amp;CSV!I49</f>
        <v>Baloo Tender Savage</v>
      </c>
      <c r="D56" s="3" t="str">
        <f>CSV!T49</f>
        <v>Třída pracovní</v>
      </c>
      <c r="E56" s="4"/>
      <c r="F56" s="1" t="str">
        <f>CSV!V49</f>
        <v>Knírač velký - černý</v>
      </c>
    </row>
    <row r="57" spans="1:6">
      <c r="A57" s="3">
        <f>CSV!C50</f>
        <v>49</v>
      </c>
      <c r="B57" s="27" t="str">
        <f>IF(CSV!AG50="fena","♀","♂")</f>
        <v>♀</v>
      </c>
      <c r="C57" s="3" t="str">
        <f>CSV!H50&amp;" "&amp;CSV!I50</f>
        <v>DOREEN Giom Kastasi</v>
      </c>
      <c r="D57" s="3" t="str">
        <f>CSV!T50</f>
        <v>Třída štěňat</v>
      </c>
      <c r="E57" s="4"/>
      <c r="F57" s="1" t="str">
        <f>CSV!V50</f>
        <v>Knírač velký - černý</v>
      </c>
    </row>
    <row r="58" spans="1:6">
      <c r="A58" s="3">
        <f>CSV!C51</f>
        <v>50</v>
      </c>
      <c r="B58" s="27" t="str">
        <f>IF(CSV!AG51="fena","♀","♂")</f>
        <v>♀</v>
      </c>
      <c r="C58" s="3" t="str">
        <f>CSV!H51&amp;" "&amp;CSV!I51</f>
        <v>Queen Bee Ruby Sluneční paprsek</v>
      </c>
      <c r="D58" s="3" t="str">
        <f>CSV!T51</f>
        <v>Mezitřída</v>
      </c>
      <c r="E58" s="4"/>
      <c r="F58" s="1" t="str">
        <f>CSV!V51</f>
        <v>Knírač velký - černý</v>
      </c>
    </row>
    <row r="59" spans="1:6">
      <c r="A59" s="3">
        <f>CSV!C52</f>
        <v>51</v>
      </c>
      <c r="B59" s="27" t="str">
        <f>IF(CSV!AG52="fena","♀","♂")</f>
        <v>♀</v>
      </c>
      <c r="C59" s="3" t="str">
        <f>CSV!H52&amp;" "&amp;CSV!I52</f>
        <v>Julie  od Devíti vrb</v>
      </c>
      <c r="D59" s="3" t="str">
        <f>CSV!T52</f>
        <v>Třída otevřená</v>
      </c>
      <c r="E59" s="4"/>
      <c r="F59" s="1" t="str">
        <f>CSV!V52</f>
        <v>Knírač velký - černý</v>
      </c>
    </row>
    <row r="60" spans="1:6">
      <c r="A60" s="3">
        <f>CSV!C53</f>
        <v>52</v>
      </c>
      <c r="B60" s="27" t="str">
        <f>IF(CSV!AG53="fena","♀","♂")</f>
        <v>♀</v>
      </c>
      <c r="C60" s="3" t="str">
        <f>CSV!H53&amp;" "&amp;CSV!I53</f>
        <v>Calamity Jean Habrůvka</v>
      </c>
      <c r="D60" s="3" t="str">
        <f>CSV!T53</f>
        <v>Třída mladých</v>
      </c>
      <c r="E60" s="4"/>
      <c r="F60" s="1" t="str">
        <f>CSV!V53</f>
        <v>Knírač velký - pepř a sůl</v>
      </c>
    </row>
    <row r="61" spans="1:6">
      <c r="B61" s="1"/>
      <c r="E61" s="1"/>
    </row>
    <row r="62" spans="1:6">
      <c r="B62" s="1"/>
      <c r="E62" s="1"/>
    </row>
    <row r="63" spans="1:6">
      <c r="B63" s="1"/>
      <c r="E63" s="1"/>
    </row>
    <row r="64" spans="1:6">
      <c r="B64" s="1"/>
      <c r="E64" s="1"/>
    </row>
    <row r="65" spans="1:5">
      <c r="B65" s="1"/>
      <c r="E65" s="1"/>
    </row>
    <row r="66" spans="1:5">
      <c r="B66" s="1"/>
      <c r="E66" s="1"/>
    </row>
    <row r="67" spans="1:5">
      <c r="B67" s="1"/>
      <c r="E67" s="1"/>
    </row>
    <row r="68" spans="1:5">
      <c r="A68" s="2"/>
      <c r="B68" s="29"/>
      <c r="C68" s="2"/>
      <c r="D68" s="2"/>
    </row>
    <row r="69" spans="1:5" ht="18.75">
      <c r="A69" s="20" t="s">
        <v>49</v>
      </c>
      <c r="B69" s="20"/>
      <c r="C69" s="20"/>
      <c r="D69" s="20"/>
      <c r="E69" s="20"/>
    </row>
    <row r="70" spans="1:5" ht="15.75">
      <c r="A70" s="10" t="s">
        <v>61</v>
      </c>
      <c r="B70" s="17"/>
      <c r="C70" s="13" t="s">
        <v>51</v>
      </c>
      <c r="D70" s="14" t="s">
        <v>50</v>
      </c>
      <c r="E70" s="17"/>
    </row>
    <row r="71" spans="1:5" ht="15.75">
      <c r="A71" s="11" t="s">
        <v>62</v>
      </c>
      <c r="B71" s="18"/>
      <c r="C71" s="15" t="s">
        <v>52</v>
      </c>
      <c r="D71" s="3" t="s">
        <v>60</v>
      </c>
      <c r="E71" s="18"/>
    </row>
    <row r="72" spans="1:5" ht="15.75">
      <c r="A72" s="11" t="s">
        <v>63</v>
      </c>
      <c r="B72" s="18"/>
      <c r="C72" s="15" t="s">
        <v>53</v>
      </c>
      <c r="D72" s="15" t="s">
        <v>69</v>
      </c>
      <c r="E72" s="18"/>
    </row>
    <row r="73" spans="1:5" ht="15.75">
      <c r="A73" s="11" t="s">
        <v>64</v>
      </c>
      <c r="B73" s="18"/>
      <c r="C73" s="15" t="s">
        <v>54</v>
      </c>
      <c r="D73" s="15" t="s">
        <v>70</v>
      </c>
      <c r="E73" s="18"/>
    </row>
    <row r="74" spans="1:5" ht="15.75">
      <c r="A74" s="11" t="s">
        <v>65</v>
      </c>
      <c r="B74" s="18"/>
      <c r="C74" s="15" t="s">
        <v>55</v>
      </c>
      <c r="D74" s="15" t="s">
        <v>71</v>
      </c>
      <c r="E74" s="18"/>
    </row>
    <row r="75" spans="1:5" ht="15.75">
      <c r="A75" s="11" t="s">
        <v>66</v>
      </c>
      <c r="B75" s="18"/>
      <c r="C75" s="15" t="s">
        <v>56</v>
      </c>
      <c r="D75" s="15" t="s">
        <v>72</v>
      </c>
      <c r="E75" s="18"/>
    </row>
    <row r="76" spans="1:5" ht="15.75">
      <c r="A76" s="11" t="s">
        <v>67</v>
      </c>
      <c r="B76" s="18"/>
      <c r="C76" s="15" t="s">
        <v>57</v>
      </c>
      <c r="D76" s="15" t="s">
        <v>73</v>
      </c>
      <c r="E76" s="18"/>
    </row>
    <row r="77" spans="1:5" ht="15.75">
      <c r="A77" s="11" t="s">
        <v>68</v>
      </c>
      <c r="B77" s="18"/>
      <c r="C77" s="15" t="s">
        <v>58</v>
      </c>
      <c r="D77" s="15" t="s">
        <v>74</v>
      </c>
      <c r="E77" s="18"/>
    </row>
    <row r="78" spans="1:5" ht="15.75">
      <c r="A78" s="12" t="s">
        <v>67</v>
      </c>
      <c r="B78" s="19"/>
      <c r="C78" s="16" t="s">
        <v>59</v>
      </c>
      <c r="D78" s="16" t="s">
        <v>73</v>
      </c>
      <c r="E78" s="19"/>
    </row>
    <row r="81" spans="1:1">
      <c r="A81" s="1" t="s">
        <v>75</v>
      </c>
    </row>
  </sheetData>
  <mergeCells count="5">
    <mergeCell ref="A5:E5"/>
    <mergeCell ref="A1:E1"/>
    <mergeCell ref="A2:E2"/>
    <mergeCell ref="A3:E3"/>
    <mergeCell ref="A69:E69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53"/>
  <sheetViews>
    <sheetView workbookViewId="0">
      <selection activeCell="Y2" sqref="Y2"/>
    </sheetView>
  </sheetViews>
  <sheetFormatPr defaultRowHeight="15"/>
  <sheetData>
    <row r="1" spans="1:39">
      <c r="A1" t="s">
        <v>78</v>
      </c>
      <c r="B1" t="s">
        <v>79</v>
      </c>
      <c r="C1" t="s">
        <v>80</v>
      </c>
      <c r="D1" t="s">
        <v>81</v>
      </c>
      <c r="E1" t="s">
        <v>82</v>
      </c>
      <c r="F1" t="s">
        <v>83</v>
      </c>
      <c r="G1" t="s">
        <v>84</v>
      </c>
      <c r="H1" t="s">
        <v>85</v>
      </c>
      <c r="I1" t="s">
        <v>86</v>
      </c>
      <c r="J1" t="s">
        <v>87</v>
      </c>
      <c r="K1" t="s">
        <v>88</v>
      </c>
      <c r="L1" t="s">
        <v>89</v>
      </c>
      <c r="M1" t="s">
        <v>90</v>
      </c>
      <c r="N1" t="s">
        <v>91</v>
      </c>
      <c r="O1" t="s">
        <v>92</v>
      </c>
      <c r="P1" t="s">
        <v>93</v>
      </c>
      <c r="Q1" t="s">
        <v>94</v>
      </c>
      <c r="R1" t="s">
        <v>95</v>
      </c>
      <c r="S1" t="s">
        <v>96</v>
      </c>
      <c r="T1" t="s">
        <v>97</v>
      </c>
      <c r="U1" t="s">
        <v>98</v>
      </c>
      <c r="V1" t="s">
        <v>99</v>
      </c>
      <c r="W1" t="s">
        <v>100</v>
      </c>
      <c r="X1" t="s">
        <v>101</v>
      </c>
      <c r="Y1" t="s">
        <v>102</v>
      </c>
      <c r="Z1" t="s">
        <v>103</v>
      </c>
      <c r="AA1" t="s">
        <v>104</v>
      </c>
      <c r="AB1" t="s">
        <v>105</v>
      </c>
      <c r="AC1" t="s">
        <v>106</v>
      </c>
      <c r="AD1" t="s">
        <v>107</v>
      </c>
      <c r="AE1" t="s">
        <v>108</v>
      </c>
      <c r="AF1" t="s">
        <v>109</v>
      </c>
      <c r="AG1" t="s">
        <v>110</v>
      </c>
      <c r="AH1" t="s">
        <v>111</v>
      </c>
      <c r="AI1" t="s">
        <v>112</v>
      </c>
      <c r="AJ1" t="s">
        <v>113</v>
      </c>
      <c r="AK1" t="s">
        <v>114</v>
      </c>
      <c r="AL1" t="s">
        <v>115</v>
      </c>
      <c r="AM1" t="s">
        <v>116</v>
      </c>
    </row>
    <row r="2" spans="1:39">
      <c r="A2">
        <v>1</v>
      </c>
      <c r="B2" s="24">
        <v>44821</v>
      </c>
      <c r="C2">
        <v>1</v>
      </c>
      <c r="E2">
        <v>2</v>
      </c>
      <c r="F2" t="s">
        <v>117</v>
      </c>
      <c r="G2" t="s">
        <v>118</v>
      </c>
      <c r="H2" t="s">
        <v>119</v>
      </c>
      <c r="I2" t="s">
        <v>8</v>
      </c>
      <c r="J2" t="s">
        <v>120</v>
      </c>
      <c r="L2" s="24">
        <v>44255</v>
      </c>
      <c r="M2" t="s">
        <v>121</v>
      </c>
      <c r="N2" t="s">
        <v>122</v>
      </c>
      <c r="O2" t="s">
        <v>123</v>
      </c>
      <c r="P2" t="s">
        <v>124</v>
      </c>
      <c r="R2" t="s">
        <v>125</v>
      </c>
      <c r="S2" t="s">
        <v>126</v>
      </c>
      <c r="T2" t="s">
        <v>9</v>
      </c>
      <c r="U2" t="s">
        <v>127</v>
      </c>
      <c r="V2" t="s">
        <v>128</v>
      </c>
      <c r="X2" t="s">
        <v>129</v>
      </c>
      <c r="Y2">
        <v>1</v>
      </c>
      <c r="Z2" t="s">
        <v>130</v>
      </c>
      <c r="AA2" t="s">
        <v>131</v>
      </c>
      <c r="AB2" t="s">
        <v>132</v>
      </c>
      <c r="AD2">
        <v>1200</v>
      </c>
      <c r="AF2" t="s">
        <v>133</v>
      </c>
      <c r="AG2" t="s">
        <v>134</v>
      </c>
      <c r="AH2" t="s">
        <v>135</v>
      </c>
      <c r="AI2" t="s">
        <v>136</v>
      </c>
      <c r="AJ2" t="str">
        <f>"67904"</f>
        <v>67904</v>
      </c>
      <c r="AK2" t="str">
        <f>"956000011117777"</f>
        <v>956000011117777</v>
      </c>
      <c r="AM2" t="s">
        <v>137</v>
      </c>
    </row>
    <row r="3" spans="1:39">
      <c r="A3">
        <v>2</v>
      </c>
      <c r="B3" s="24">
        <v>44821</v>
      </c>
      <c r="C3">
        <v>2</v>
      </c>
      <c r="E3">
        <v>2</v>
      </c>
      <c r="F3" t="s">
        <v>117</v>
      </c>
      <c r="G3" t="s">
        <v>118</v>
      </c>
      <c r="H3" t="s">
        <v>138</v>
      </c>
      <c r="I3" t="s">
        <v>139</v>
      </c>
      <c r="J3" t="s">
        <v>140</v>
      </c>
      <c r="L3" s="24">
        <v>44626</v>
      </c>
      <c r="M3" t="s">
        <v>141</v>
      </c>
      <c r="N3" t="s">
        <v>142</v>
      </c>
      <c r="O3" t="s">
        <v>143</v>
      </c>
      <c r="P3" t="s">
        <v>144</v>
      </c>
      <c r="R3" t="s">
        <v>145</v>
      </c>
      <c r="S3" t="s">
        <v>146</v>
      </c>
      <c r="T3" t="s">
        <v>25</v>
      </c>
      <c r="U3" t="s">
        <v>147</v>
      </c>
      <c r="V3" t="s">
        <v>148</v>
      </c>
      <c r="X3" t="s">
        <v>149</v>
      </c>
      <c r="Y3">
        <v>1</v>
      </c>
      <c r="Z3" t="s">
        <v>130</v>
      </c>
      <c r="AA3" t="s">
        <v>150</v>
      </c>
      <c r="AB3" t="s">
        <v>132</v>
      </c>
      <c r="AD3">
        <v>200</v>
      </c>
      <c r="AF3" t="s">
        <v>133</v>
      </c>
      <c r="AG3" t="s">
        <v>151</v>
      </c>
      <c r="AH3" t="s">
        <v>152</v>
      </c>
      <c r="AI3" t="s">
        <v>153</v>
      </c>
      <c r="AJ3" t="str">
        <f>"66451"</f>
        <v>66451</v>
      </c>
      <c r="AK3" t="str">
        <f>"945000002334213"</f>
        <v>945000002334213</v>
      </c>
      <c r="AM3" t="s">
        <v>154</v>
      </c>
    </row>
    <row r="4" spans="1:39">
      <c r="A4">
        <v>3</v>
      </c>
      <c r="B4" s="24">
        <v>44821</v>
      </c>
      <c r="C4">
        <v>3</v>
      </c>
      <c r="E4">
        <v>2</v>
      </c>
      <c r="F4" t="s">
        <v>117</v>
      </c>
      <c r="G4" t="s">
        <v>118</v>
      </c>
      <c r="H4" t="s">
        <v>155</v>
      </c>
      <c r="I4" t="s">
        <v>156</v>
      </c>
      <c r="J4" t="s">
        <v>157</v>
      </c>
      <c r="L4" s="24">
        <v>44367</v>
      </c>
      <c r="M4" t="s">
        <v>158</v>
      </c>
      <c r="N4" t="s">
        <v>159</v>
      </c>
      <c r="O4" t="s">
        <v>160</v>
      </c>
      <c r="P4" t="s">
        <v>161</v>
      </c>
      <c r="R4" t="s">
        <v>145</v>
      </c>
      <c r="S4" t="s">
        <v>146</v>
      </c>
      <c r="T4" t="s">
        <v>6</v>
      </c>
      <c r="U4" t="s">
        <v>162</v>
      </c>
      <c r="V4" t="s">
        <v>148</v>
      </c>
      <c r="X4" t="s">
        <v>149</v>
      </c>
      <c r="Y4">
        <v>1</v>
      </c>
      <c r="Z4" t="s">
        <v>130</v>
      </c>
      <c r="AA4" t="s">
        <v>163</v>
      </c>
      <c r="AB4" t="s">
        <v>132</v>
      </c>
      <c r="AD4">
        <v>600</v>
      </c>
      <c r="AF4" t="s">
        <v>133</v>
      </c>
      <c r="AG4" t="s">
        <v>151</v>
      </c>
      <c r="AH4" t="s">
        <v>164</v>
      </c>
      <c r="AI4" t="s">
        <v>165</v>
      </c>
      <c r="AJ4" t="str">
        <f>"66442"</f>
        <v>66442</v>
      </c>
      <c r="AK4" t="str">
        <f>"900203000049847"</f>
        <v>900203000049847</v>
      </c>
      <c r="AM4" t="s">
        <v>166</v>
      </c>
    </row>
    <row r="5" spans="1:39">
      <c r="A5">
        <v>4</v>
      </c>
      <c r="B5" s="24">
        <v>44821</v>
      </c>
      <c r="C5">
        <v>4</v>
      </c>
      <c r="E5">
        <v>2</v>
      </c>
      <c r="F5" t="s">
        <v>117</v>
      </c>
      <c r="G5" t="s">
        <v>118</v>
      </c>
      <c r="H5" t="s">
        <v>167</v>
      </c>
      <c r="I5" t="s">
        <v>13</v>
      </c>
      <c r="J5" t="s">
        <v>168</v>
      </c>
      <c r="L5" s="24">
        <v>44325</v>
      </c>
      <c r="M5" t="s">
        <v>169</v>
      </c>
      <c r="N5" t="s">
        <v>170</v>
      </c>
      <c r="O5" t="s">
        <v>171</v>
      </c>
      <c r="P5" t="s">
        <v>172</v>
      </c>
      <c r="R5" t="s">
        <v>145</v>
      </c>
      <c r="S5" t="s">
        <v>146</v>
      </c>
      <c r="T5" t="s">
        <v>9</v>
      </c>
      <c r="U5" t="s">
        <v>127</v>
      </c>
      <c r="V5" t="s">
        <v>148</v>
      </c>
      <c r="X5" t="s">
        <v>149</v>
      </c>
      <c r="Y5">
        <v>1</v>
      </c>
      <c r="Z5" t="s">
        <v>130</v>
      </c>
      <c r="AA5" t="s">
        <v>173</v>
      </c>
      <c r="AB5" t="s">
        <v>132</v>
      </c>
      <c r="AD5">
        <v>600</v>
      </c>
      <c r="AF5" t="s">
        <v>133</v>
      </c>
      <c r="AG5" t="s">
        <v>151</v>
      </c>
      <c r="AH5" t="s">
        <v>174</v>
      </c>
      <c r="AI5" t="s">
        <v>175</v>
      </c>
      <c r="AJ5" t="str">
        <f>"61600"</f>
        <v>61600</v>
      </c>
      <c r="AK5" t="str">
        <f>""</f>
        <v/>
      </c>
      <c r="AM5" t="s">
        <v>176</v>
      </c>
    </row>
    <row r="6" spans="1:39">
      <c r="A6">
        <v>5</v>
      </c>
      <c r="B6" s="24">
        <v>44821</v>
      </c>
      <c r="C6">
        <v>5</v>
      </c>
      <c r="E6">
        <v>2</v>
      </c>
      <c r="F6" t="s">
        <v>117</v>
      </c>
      <c r="G6" t="s">
        <v>118</v>
      </c>
      <c r="H6" t="s">
        <v>177</v>
      </c>
      <c r="I6" t="s">
        <v>12</v>
      </c>
      <c r="J6" t="s">
        <v>178</v>
      </c>
      <c r="L6" s="24">
        <v>44244</v>
      </c>
      <c r="M6" t="s">
        <v>179</v>
      </c>
      <c r="N6" t="s">
        <v>180</v>
      </c>
      <c r="O6" t="s">
        <v>181</v>
      </c>
      <c r="P6" t="s">
        <v>182</v>
      </c>
      <c r="R6" t="s">
        <v>145</v>
      </c>
      <c r="S6" t="s">
        <v>146</v>
      </c>
      <c r="T6" t="s">
        <v>11</v>
      </c>
      <c r="U6" t="s">
        <v>183</v>
      </c>
      <c r="V6" t="s">
        <v>148</v>
      </c>
      <c r="X6" t="s">
        <v>149</v>
      </c>
      <c r="Y6">
        <v>1</v>
      </c>
      <c r="Z6" t="s">
        <v>130</v>
      </c>
      <c r="AA6" t="s">
        <v>184</v>
      </c>
      <c r="AB6" t="s">
        <v>132</v>
      </c>
      <c r="AD6">
        <v>600</v>
      </c>
      <c r="AF6" t="s">
        <v>133</v>
      </c>
      <c r="AG6" t="s">
        <v>151</v>
      </c>
      <c r="AH6" t="s">
        <v>185</v>
      </c>
      <c r="AI6" t="s">
        <v>186</v>
      </c>
      <c r="AJ6" t="str">
        <f>"67801"</f>
        <v>67801</v>
      </c>
      <c r="AK6" t="str">
        <f>"200000823566"</f>
        <v>200000823566</v>
      </c>
      <c r="AM6" t="s">
        <v>187</v>
      </c>
    </row>
    <row r="7" spans="1:39">
      <c r="A7">
        <v>6</v>
      </c>
      <c r="B7" s="24">
        <v>44821</v>
      </c>
      <c r="C7">
        <v>6</v>
      </c>
      <c r="E7">
        <v>2</v>
      </c>
      <c r="F7" t="s">
        <v>117</v>
      </c>
      <c r="G7" t="s">
        <v>118</v>
      </c>
      <c r="H7" t="s">
        <v>188</v>
      </c>
      <c r="I7" t="s">
        <v>18</v>
      </c>
      <c r="J7" t="s">
        <v>189</v>
      </c>
      <c r="L7" s="24">
        <v>42800</v>
      </c>
      <c r="M7" t="s">
        <v>190</v>
      </c>
      <c r="N7" t="s">
        <v>191</v>
      </c>
      <c r="P7" t="s">
        <v>192</v>
      </c>
      <c r="R7" t="s">
        <v>145</v>
      </c>
      <c r="S7" t="s">
        <v>146</v>
      </c>
      <c r="T7" t="s">
        <v>17</v>
      </c>
      <c r="U7" t="s">
        <v>193</v>
      </c>
      <c r="V7" t="s">
        <v>148</v>
      </c>
      <c r="X7" t="s">
        <v>149</v>
      </c>
      <c r="Y7">
        <v>1</v>
      </c>
      <c r="Z7" t="s">
        <v>130</v>
      </c>
      <c r="AA7" t="s">
        <v>194</v>
      </c>
      <c r="AB7" t="s">
        <v>195</v>
      </c>
      <c r="AD7">
        <v>400</v>
      </c>
      <c r="AF7" t="s">
        <v>133</v>
      </c>
      <c r="AG7" t="s">
        <v>151</v>
      </c>
      <c r="AH7" t="s">
        <v>196</v>
      </c>
      <c r="AI7" t="s">
        <v>197</v>
      </c>
      <c r="AJ7" t="str">
        <f>"67571"</f>
        <v>67571</v>
      </c>
      <c r="AK7" t="str">
        <f>"616246000018171"</f>
        <v>616246000018171</v>
      </c>
      <c r="AM7" t="s">
        <v>198</v>
      </c>
    </row>
    <row r="8" spans="1:39">
      <c r="A8">
        <v>7</v>
      </c>
      <c r="B8" s="24">
        <v>44821</v>
      </c>
      <c r="C8">
        <v>7</v>
      </c>
      <c r="E8">
        <v>2</v>
      </c>
      <c r="F8" t="s">
        <v>117</v>
      </c>
      <c r="G8" t="s">
        <v>118</v>
      </c>
      <c r="H8" t="s">
        <v>199</v>
      </c>
      <c r="I8" t="s">
        <v>13</v>
      </c>
      <c r="J8" t="s">
        <v>200</v>
      </c>
      <c r="L8" s="24">
        <v>44323</v>
      </c>
      <c r="M8" t="s">
        <v>201</v>
      </c>
      <c r="N8" t="s">
        <v>202</v>
      </c>
      <c r="O8" t="s">
        <v>171</v>
      </c>
      <c r="P8" t="s">
        <v>182</v>
      </c>
      <c r="R8" t="s">
        <v>125</v>
      </c>
      <c r="S8" t="s">
        <v>126</v>
      </c>
      <c r="T8" t="s">
        <v>9</v>
      </c>
      <c r="U8" t="s">
        <v>127</v>
      </c>
      <c r="V8" t="s">
        <v>148</v>
      </c>
      <c r="X8" t="s">
        <v>149</v>
      </c>
      <c r="Y8">
        <v>1</v>
      </c>
      <c r="Z8" t="s">
        <v>130</v>
      </c>
      <c r="AA8" t="s">
        <v>184</v>
      </c>
      <c r="AB8" t="s">
        <v>132</v>
      </c>
      <c r="AD8">
        <v>600</v>
      </c>
      <c r="AF8" t="s">
        <v>133</v>
      </c>
      <c r="AG8" t="s">
        <v>134</v>
      </c>
      <c r="AH8" t="s">
        <v>185</v>
      </c>
      <c r="AI8" t="s">
        <v>186</v>
      </c>
      <c r="AJ8" t="str">
        <f>"67801"</f>
        <v>67801</v>
      </c>
      <c r="AK8" t="str">
        <f>"941000024989713"</f>
        <v>941000024989713</v>
      </c>
      <c r="AM8" t="s">
        <v>203</v>
      </c>
    </row>
    <row r="9" spans="1:39">
      <c r="A9">
        <v>8</v>
      </c>
      <c r="B9" s="24">
        <v>44821</v>
      </c>
      <c r="C9">
        <v>8</v>
      </c>
      <c r="E9">
        <v>2</v>
      </c>
      <c r="F9" t="s">
        <v>117</v>
      </c>
      <c r="G9" t="s">
        <v>118</v>
      </c>
      <c r="H9" t="s">
        <v>204</v>
      </c>
      <c r="I9" t="s">
        <v>205</v>
      </c>
      <c r="J9" t="s">
        <v>206</v>
      </c>
      <c r="L9" s="24">
        <v>44023</v>
      </c>
      <c r="M9" t="s">
        <v>179</v>
      </c>
      <c r="N9" t="s">
        <v>207</v>
      </c>
      <c r="O9" t="s">
        <v>208</v>
      </c>
      <c r="P9" t="s">
        <v>209</v>
      </c>
      <c r="R9" t="s">
        <v>125</v>
      </c>
      <c r="S9" t="s">
        <v>126</v>
      </c>
      <c r="T9" t="s">
        <v>10</v>
      </c>
      <c r="U9" t="s">
        <v>210</v>
      </c>
      <c r="V9" t="s">
        <v>148</v>
      </c>
      <c r="X9" t="s">
        <v>149</v>
      </c>
      <c r="Y9">
        <v>1</v>
      </c>
      <c r="Z9" t="s">
        <v>130</v>
      </c>
      <c r="AA9" t="s">
        <v>211</v>
      </c>
      <c r="AB9" t="s">
        <v>132</v>
      </c>
      <c r="AD9">
        <v>600</v>
      </c>
      <c r="AF9" t="s">
        <v>133</v>
      </c>
      <c r="AG9" t="s">
        <v>134</v>
      </c>
      <c r="AH9" t="s">
        <v>212</v>
      </c>
      <c r="AI9" t="s">
        <v>175</v>
      </c>
      <c r="AJ9" t="str">
        <f>"64300"</f>
        <v>64300</v>
      </c>
      <c r="AK9" t="str">
        <f>"203164000123735"</f>
        <v>203164000123735</v>
      </c>
      <c r="AM9" t="s">
        <v>213</v>
      </c>
    </row>
    <row r="10" spans="1:39">
      <c r="A10">
        <v>9</v>
      </c>
      <c r="B10" s="24">
        <v>44821</v>
      </c>
      <c r="C10">
        <v>9</v>
      </c>
      <c r="E10">
        <v>2</v>
      </c>
      <c r="F10" t="s">
        <v>117</v>
      </c>
      <c r="G10" t="s">
        <v>118</v>
      </c>
      <c r="H10" t="s">
        <v>214</v>
      </c>
      <c r="I10" t="s">
        <v>15</v>
      </c>
      <c r="J10" t="s">
        <v>215</v>
      </c>
      <c r="L10" s="24">
        <v>43641</v>
      </c>
      <c r="M10" t="s">
        <v>198</v>
      </c>
      <c r="N10" t="s">
        <v>216</v>
      </c>
      <c r="O10" t="s">
        <v>217</v>
      </c>
      <c r="P10" t="s">
        <v>218</v>
      </c>
      <c r="R10" t="s">
        <v>125</v>
      </c>
      <c r="S10" t="s">
        <v>126</v>
      </c>
      <c r="T10" t="s">
        <v>10</v>
      </c>
      <c r="U10" t="s">
        <v>210</v>
      </c>
      <c r="V10" t="s">
        <v>148</v>
      </c>
      <c r="X10" t="s">
        <v>149</v>
      </c>
      <c r="Y10">
        <v>1</v>
      </c>
      <c r="Z10" t="s">
        <v>130</v>
      </c>
      <c r="AA10" t="s">
        <v>219</v>
      </c>
      <c r="AB10" t="s">
        <v>132</v>
      </c>
      <c r="AD10">
        <v>1300</v>
      </c>
      <c r="AF10" t="s">
        <v>133</v>
      </c>
      <c r="AG10" t="s">
        <v>134</v>
      </c>
      <c r="AH10" t="s">
        <v>220</v>
      </c>
      <c r="AI10" t="s">
        <v>175</v>
      </c>
      <c r="AJ10" t="str">
        <f>"61900"</f>
        <v>61900</v>
      </c>
      <c r="AK10" t="str">
        <f>"203098100455927"</f>
        <v>203098100455927</v>
      </c>
      <c r="AM10" t="s">
        <v>221</v>
      </c>
    </row>
    <row r="11" spans="1:39">
      <c r="A11">
        <v>10</v>
      </c>
      <c r="B11" s="24">
        <v>44821</v>
      </c>
      <c r="C11">
        <v>10</v>
      </c>
      <c r="E11">
        <v>2</v>
      </c>
      <c r="F11" t="s">
        <v>117</v>
      </c>
      <c r="G11" t="s">
        <v>118</v>
      </c>
      <c r="H11" t="s">
        <v>222</v>
      </c>
      <c r="I11" t="s">
        <v>26</v>
      </c>
      <c r="J11" t="s">
        <v>223</v>
      </c>
      <c r="L11" s="24">
        <v>44507</v>
      </c>
      <c r="M11" t="s">
        <v>224</v>
      </c>
      <c r="N11" t="s">
        <v>225</v>
      </c>
      <c r="O11" t="s">
        <v>226</v>
      </c>
      <c r="P11" t="s">
        <v>227</v>
      </c>
      <c r="R11" t="s">
        <v>145</v>
      </c>
      <c r="S11" t="s">
        <v>146</v>
      </c>
      <c r="T11" t="s">
        <v>6</v>
      </c>
      <c r="U11" t="s">
        <v>162</v>
      </c>
      <c r="V11" t="s">
        <v>228</v>
      </c>
      <c r="X11" t="s">
        <v>229</v>
      </c>
      <c r="Y11">
        <v>1</v>
      </c>
      <c r="Z11" t="s">
        <v>130</v>
      </c>
      <c r="AA11" t="s">
        <v>230</v>
      </c>
      <c r="AB11" t="s">
        <v>132</v>
      </c>
      <c r="AD11">
        <v>1600</v>
      </c>
      <c r="AF11" t="s">
        <v>133</v>
      </c>
      <c r="AG11" t="s">
        <v>151</v>
      </c>
      <c r="AH11" t="s">
        <v>231</v>
      </c>
      <c r="AI11" t="s">
        <v>232</v>
      </c>
      <c r="AJ11" t="str">
        <f>"66461"</f>
        <v>66461</v>
      </c>
      <c r="AK11" t="str">
        <f>"953010004773383"</f>
        <v>953010004773383</v>
      </c>
      <c r="AM11" t="s">
        <v>233</v>
      </c>
    </row>
    <row r="12" spans="1:39">
      <c r="A12">
        <v>11</v>
      </c>
      <c r="B12" s="24">
        <v>44821</v>
      </c>
      <c r="C12">
        <v>11</v>
      </c>
      <c r="E12">
        <v>2</v>
      </c>
      <c r="F12" t="s">
        <v>117</v>
      </c>
      <c r="G12" t="s">
        <v>118</v>
      </c>
      <c r="H12" t="s">
        <v>234</v>
      </c>
      <c r="I12" t="s">
        <v>235</v>
      </c>
      <c r="J12" t="s">
        <v>236</v>
      </c>
      <c r="L12" s="24">
        <v>44539</v>
      </c>
      <c r="M12" t="s">
        <v>237</v>
      </c>
      <c r="N12" t="s">
        <v>238</v>
      </c>
      <c r="O12" t="s">
        <v>239</v>
      </c>
      <c r="P12" t="s">
        <v>240</v>
      </c>
      <c r="R12" t="s">
        <v>145</v>
      </c>
      <c r="S12" t="s">
        <v>146</v>
      </c>
      <c r="T12" t="s">
        <v>6</v>
      </c>
      <c r="U12" t="s">
        <v>162</v>
      </c>
      <c r="V12" t="s">
        <v>228</v>
      </c>
      <c r="X12" t="s">
        <v>229</v>
      </c>
      <c r="Y12">
        <v>1</v>
      </c>
      <c r="Z12" t="s">
        <v>130</v>
      </c>
      <c r="AA12" t="s">
        <v>241</v>
      </c>
      <c r="AB12" t="s">
        <v>132</v>
      </c>
      <c r="AD12">
        <v>1100</v>
      </c>
      <c r="AF12" t="s">
        <v>133</v>
      </c>
      <c r="AG12" t="s">
        <v>151</v>
      </c>
      <c r="AH12" t="s">
        <v>242</v>
      </c>
      <c r="AI12" t="s">
        <v>243</v>
      </c>
      <c r="AJ12" t="str">
        <f>"53865"</f>
        <v>53865</v>
      </c>
      <c r="AK12" t="str">
        <f>"900215004067656"</f>
        <v>900215004067656</v>
      </c>
      <c r="AM12" t="s">
        <v>244</v>
      </c>
    </row>
    <row r="13" spans="1:39">
      <c r="A13">
        <v>12</v>
      </c>
      <c r="B13" s="24">
        <v>44821</v>
      </c>
      <c r="C13">
        <v>12</v>
      </c>
      <c r="E13">
        <v>2</v>
      </c>
      <c r="F13" t="s">
        <v>117</v>
      </c>
      <c r="G13" t="s">
        <v>118</v>
      </c>
      <c r="H13" t="s">
        <v>245</v>
      </c>
      <c r="I13" t="s">
        <v>24</v>
      </c>
      <c r="J13" t="s">
        <v>246</v>
      </c>
      <c r="L13" s="24">
        <v>43613</v>
      </c>
      <c r="M13" t="s">
        <v>247</v>
      </c>
      <c r="N13" t="s">
        <v>248</v>
      </c>
      <c r="O13" t="s">
        <v>249</v>
      </c>
      <c r="P13" t="s">
        <v>1</v>
      </c>
      <c r="R13" t="s">
        <v>145</v>
      </c>
      <c r="S13" t="s">
        <v>146</v>
      </c>
      <c r="T13" t="s">
        <v>11</v>
      </c>
      <c r="U13" t="s">
        <v>183</v>
      </c>
      <c r="V13" t="s">
        <v>228</v>
      </c>
      <c r="X13" t="s">
        <v>229</v>
      </c>
      <c r="Y13">
        <v>1</v>
      </c>
      <c r="Z13" t="s">
        <v>130</v>
      </c>
      <c r="AA13" t="s">
        <v>250</v>
      </c>
      <c r="AB13" t="s">
        <v>132</v>
      </c>
      <c r="AD13">
        <v>2500</v>
      </c>
      <c r="AF13" t="s">
        <v>133</v>
      </c>
      <c r="AG13" t="s">
        <v>151</v>
      </c>
      <c r="AH13" t="s">
        <v>251</v>
      </c>
      <c r="AI13" t="s">
        <v>252</v>
      </c>
      <c r="AJ13" t="str">
        <f>"26401"</f>
        <v>26401</v>
      </c>
      <c r="AK13" t="str">
        <f>"972270000426463"</f>
        <v>972270000426463</v>
      </c>
      <c r="AM13" t="s">
        <v>253</v>
      </c>
    </row>
    <row r="14" spans="1:39">
      <c r="A14">
        <v>13</v>
      </c>
      <c r="B14" s="24">
        <v>44821</v>
      </c>
      <c r="C14">
        <v>13</v>
      </c>
      <c r="E14">
        <v>2</v>
      </c>
      <c r="F14" t="s">
        <v>117</v>
      </c>
      <c r="G14" t="s">
        <v>118</v>
      </c>
      <c r="H14" t="s">
        <v>254</v>
      </c>
      <c r="I14" t="s">
        <v>255</v>
      </c>
      <c r="J14" t="s">
        <v>256</v>
      </c>
      <c r="L14" s="24">
        <v>44493</v>
      </c>
      <c r="M14" t="s">
        <v>257</v>
      </c>
      <c r="N14" t="s">
        <v>258</v>
      </c>
      <c r="O14" t="s">
        <v>259</v>
      </c>
      <c r="P14" t="s">
        <v>260</v>
      </c>
      <c r="R14" t="s">
        <v>125</v>
      </c>
      <c r="S14" t="s">
        <v>126</v>
      </c>
      <c r="T14" t="s">
        <v>6</v>
      </c>
      <c r="U14" t="s">
        <v>162</v>
      </c>
      <c r="V14" t="s">
        <v>228</v>
      </c>
      <c r="X14" t="s">
        <v>229</v>
      </c>
      <c r="Y14">
        <v>1</v>
      </c>
      <c r="Z14" t="s">
        <v>130</v>
      </c>
      <c r="AA14" t="s">
        <v>261</v>
      </c>
      <c r="AB14" t="s">
        <v>132</v>
      </c>
      <c r="AD14">
        <v>1200</v>
      </c>
      <c r="AF14" t="s">
        <v>133</v>
      </c>
      <c r="AG14" t="s">
        <v>134</v>
      </c>
      <c r="AH14" t="s">
        <v>262</v>
      </c>
      <c r="AI14" t="s">
        <v>263</v>
      </c>
      <c r="AJ14" t="str">
        <f>"69155"</f>
        <v>69155</v>
      </c>
      <c r="AK14" t="str">
        <f>"203098100585076 "</f>
        <v xml:space="preserve">203098100585076 </v>
      </c>
      <c r="AM14" t="s">
        <v>264</v>
      </c>
    </row>
    <row r="15" spans="1:39">
      <c r="A15">
        <v>14</v>
      </c>
      <c r="B15" s="24">
        <v>44821</v>
      </c>
      <c r="C15">
        <v>14</v>
      </c>
      <c r="E15">
        <v>2</v>
      </c>
      <c r="F15" t="s">
        <v>117</v>
      </c>
      <c r="G15" t="s">
        <v>118</v>
      </c>
      <c r="H15" t="s">
        <v>265</v>
      </c>
      <c r="I15" t="s">
        <v>266</v>
      </c>
      <c r="J15" t="s">
        <v>267</v>
      </c>
      <c r="L15" s="24">
        <v>44125</v>
      </c>
      <c r="M15" t="s">
        <v>268</v>
      </c>
      <c r="N15" t="s">
        <v>269</v>
      </c>
      <c r="O15" t="s">
        <v>270</v>
      </c>
      <c r="P15" t="s">
        <v>218</v>
      </c>
      <c r="R15" t="s">
        <v>125</v>
      </c>
      <c r="S15" t="s">
        <v>126</v>
      </c>
      <c r="T15" t="s">
        <v>9</v>
      </c>
      <c r="U15" t="s">
        <v>127</v>
      </c>
      <c r="V15" t="s">
        <v>228</v>
      </c>
      <c r="X15" t="s">
        <v>229</v>
      </c>
      <c r="Y15">
        <v>1</v>
      </c>
      <c r="Z15" t="s">
        <v>130</v>
      </c>
      <c r="AA15" t="s">
        <v>219</v>
      </c>
      <c r="AB15" t="s">
        <v>132</v>
      </c>
      <c r="AD15">
        <v>1300</v>
      </c>
      <c r="AF15" t="s">
        <v>133</v>
      </c>
      <c r="AG15" t="s">
        <v>134</v>
      </c>
      <c r="AH15" t="s">
        <v>220</v>
      </c>
      <c r="AI15" t="s">
        <v>175</v>
      </c>
      <c r="AJ15" t="str">
        <f>"61900"</f>
        <v>61900</v>
      </c>
      <c r="AK15" t="str">
        <f>"203164000122451"</f>
        <v>203164000122451</v>
      </c>
      <c r="AM15" t="s">
        <v>271</v>
      </c>
    </row>
    <row r="16" spans="1:39">
      <c r="A16">
        <v>15</v>
      </c>
      <c r="B16" s="24">
        <v>44821</v>
      </c>
      <c r="C16">
        <v>15</v>
      </c>
      <c r="E16">
        <v>2</v>
      </c>
      <c r="F16" t="s">
        <v>117</v>
      </c>
      <c r="G16" t="s">
        <v>118</v>
      </c>
      <c r="H16" t="s">
        <v>272</v>
      </c>
      <c r="I16" t="s">
        <v>27</v>
      </c>
      <c r="J16" t="s">
        <v>273</v>
      </c>
      <c r="L16" s="24">
        <v>44353</v>
      </c>
      <c r="M16" t="s">
        <v>274</v>
      </c>
      <c r="N16" t="s">
        <v>275</v>
      </c>
      <c r="O16" t="s">
        <v>276</v>
      </c>
      <c r="P16" t="s">
        <v>240</v>
      </c>
      <c r="R16" t="s">
        <v>125</v>
      </c>
      <c r="S16" t="s">
        <v>126</v>
      </c>
      <c r="T16" t="s">
        <v>9</v>
      </c>
      <c r="U16" t="s">
        <v>127</v>
      </c>
      <c r="V16" t="s">
        <v>228</v>
      </c>
      <c r="X16" t="s">
        <v>229</v>
      </c>
      <c r="Y16">
        <v>1</v>
      </c>
      <c r="Z16" t="s">
        <v>130</v>
      </c>
      <c r="AA16" t="s">
        <v>241</v>
      </c>
      <c r="AB16" t="s">
        <v>132</v>
      </c>
      <c r="AD16">
        <v>1100</v>
      </c>
      <c r="AF16" t="s">
        <v>133</v>
      </c>
      <c r="AG16" t="s">
        <v>134</v>
      </c>
      <c r="AH16" t="s">
        <v>242</v>
      </c>
      <c r="AI16" t="s">
        <v>243</v>
      </c>
      <c r="AJ16" t="str">
        <f>"53865"</f>
        <v>53865</v>
      </c>
      <c r="AK16" t="str">
        <f>"276098108421313"</f>
        <v>276098108421313</v>
      </c>
      <c r="AM16" t="s">
        <v>277</v>
      </c>
    </row>
    <row r="17" spans="1:39">
      <c r="A17">
        <v>16</v>
      </c>
      <c r="B17" s="24">
        <v>44821</v>
      </c>
      <c r="C17">
        <v>16</v>
      </c>
      <c r="E17">
        <v>2</v>
      </c>
      <c r="F17" t="s">
        <v>117</v>
      </c>
      <c r="G17" t="s">
        <v>118</v>
      </c>
      <c r="H17" t="s">
        <v>278</v>
      </c>
      <c r="I17" t="s">
        <v>24</v>
      </c>
      <c r="J17" t="s">
        <v>279</v>
      </c>
      <c r="L17" s="24">
        <v>43729</v>
      </c>
      <c r="M17" t="s">
        <v>247</v>
      </c>
      <c r="N17" t="s">
        <v>280</v>
      </c>
      <c r="O17" t="s">
        <v>249</v>
      </c>
      <c r="P17" t="s">
        <v>1</v>
      </c>
      <c r="R17" t="s">
        <v>125</v>
      </c>
      <c r="S17" t="s">
        <v>126</v>
      </c>
      <c r="T17" t="s">
        <v>10</v>
      </c>
      <c r="U17" t="s">
        <v>210</v>
      </c>
      <c r="V17" t="s">
        <v>228</v>
      </c>
      <c r="X17" t="s">
        <v>229</v>
      </c>
      <c r="Y17">
        <v>1</v>
      </c>
      <c r="Z17" t="s">
        <v>130</v>
      </c>
      <c r="AA17" t="s">
        <v>250</v>
      </c>
      <c r="AB17" t="s">
        <v>132</v>
      </c>
      <c r="AD17">
        <v>2500</v>
      </c>
      <c r="AF17" t="s">
        <v>133</v>
      </c>
      <c r="AG17" t="s">
        <v>134</v>
      </c>
      <c r="AH17" t="s">
        <v>251</v>
      </c>
      <c r="AI17" t="s">
        <v>252</v>
      </c>
      <c r="AJ17" t="str">
        <f>"26401"</f>
        <v>26401</v>
      </c>
      <c r="AK17" t="str">
        <f>"900111881781785"</f>
        <v>900111881781785</v>
      </c>
      <c r="AM17" t="s">
        <v>281</v>
      </c>
    </row>
    <row r="18" spans="1:39">
      <c r="A18">
        <v>17</v>
      </c>
      <c r="B18" s="24">
        <v>44821</v>
      </c>
      <c r="C18">
        <v>17</v>
      </c>
      <c r="E18">
        <v>2</v>
      </c>
      <c r="F18" t="s">
        <v>117</v>
      </c>
      <c r="G18" t="s">
        <v>118</v>
      </c>
      <c r="H18" t="s">
        <v>282</v>
      </c>
      <c r="I18" t="s">
        <v>24</v>
      </c>
      <c r="J18" t="s">
        <v>283</v>
      </c>
      <c r="L18" s="24">
        <v>43547</v>
      </c>
      <c r="M18" t="s">
        <v>284</v>
      </c>
      <c r="N18" t="s">
        <v>285</v>
      </c>
      <c r="O18" t="s">
        <v>249</v>
      </c>
      <c r="P18" t="s">
        <v>1</v>
      </c>
      <c r="R18" t="s">
        <v>125</v>
      </c>
      <c r="S18" t="s">
        <v>126</v>
      </c>
      <c r="T18" t="s">
        <v>11</v>
      </c>
      <c r="U18" t="s">
        <v>183</v>
      </c>
      <c r="V18" t="s">
        <v>228</v>
      </c>
      <c r="X18" t="s">
        <v>229</v>
      </c>
      <c r="Y18">
        <v>1</v>
      </c>
      <c r="Z18" t="s">
        <v>130</v>
      </c>
      <c r="AA18" t="s">
        <v>250</v>
      </c>
      <c r="AB18" t="s">
        <v>132</v>
      </c>
      <c r="AD18">
        <v>2500</v>
      </c>
      <c r="AF18" t="s">
        <v>133</v>
      </c>
      <c r="AG18" t="s">
        <v>134</v>
      </c>
      <c r="AH18" t="s">
        <v>251</v>
      </c>
      <c r="AI18" t="s">
        <v>252</v>
      </c>
      <c r="AJ18" t="str">
        <f>"26401"</f>
        <v>26401</v>
      </c>
      <c r="AK18" t="str">
        <f>"945000006126669"</f>
        <v>945000006126669</v>
      </c>
      <c r="AM18" t="s">
        <v>286</v>
      </c>
    </row>
    <row r="19" spans="1:39">
      <c r="A19">
        <v>18</v>
      </c>
      <c r="B19" s="24">
        <v>44821</v>
      </c>
      <c r="C19">
        <v>18</v>
      </c>
      <c r="E19">
        <v>2</v>
      </c>
      <c r="F19" t="s">
        <v>117</v>
      </c>
      <c r="G19" t="s">
        <v>118</v>
      </c>
      <c r="H19" t="s">
        <v>287</v>
      </c>
      <c r="I19" t="s">
        <v>288</v>
      </c>
      <c r="J19" t="s">
        <v>289</v>
      </c>
      <c r="L19" s="24">
        <v>44657</v>
      </c>
      <c r="M19" t="s">
        <v>290</v>
      </c>
      <c r="N19" t="s">
        <v>291</v>
      </c>
      <c r="O19" t="s">
        <v>292</v>
      </c>
      <c r="P19" t="s">
        <v>293</v>
      </c>
      <c r="R19" t="s">
        <v>145</v>
      </c>
      <c r="S19" t="s">
        <v>146</v>
      </c>
      <c r="T19" t="s">
        <v>22</v>
      </c>
      <c r="U19" t="s">
        <v>294</v>
      </c>
      <c r="V19" t="s">
        <v>295</v>
      </c>
      <c r="X19" t="s">
        <v>296</v>
      </c>
      <c r="Y19">
        <v>1</v>
      </c>
      <c r="Z19" t="s">
        <v>130</v>
      </c>
      <c r="AA19" t="s">
        <v>297</v>
      </c>
      <c r="AB19" t="s">
        <v>132</v>
      </c>
      <c r="AD19">
        <v>200</v>
      </c>
      <c r="AF19" t="s">
        <v>133</v>
      </c>
      <c r="AG19" t="s">
        <v>151</v>
      </c>
      <c r="AH19" t="s">
        <v>298</v>
      </c>
      <c r="AI19" t="s">
        <v>175</v>
      </c>
      <c r="AJ19" t="str">
        <f>"62700"</f>
        <v>62700</v>
      </c>
      <c r="AK19" t="str">
        <f>"941000024994728"</f>
        <v>941000024994728</v>
      </c>
      <c r="AM19" t="s">
        <v>299</v>
      </c>
    </row>
    <row r="20" spans="1:39">
      <c r="A20">
        <v>19</v>
      </c>
      <c r="B20" s="24">
        <v>44821</v>
      </c>
      <c r="C20">
        <v>19</v>
      </c>
      <c r="E20">
        <v>2</v>
      </c>
      <c r="F20" t="s">
        <v>117</v>
      </c>
      <c r="G20" t="s">
        <v>118</v>
      </c>
      <c r="H20" t="s">
        <v>300</v>
      </c>
      <c r="I20" t="s">
        <v>301</v>
      </c>
      <c r="J20" t="s">
        <v>302</v>
      </c>
      <c r="L20" s="24">
        <v>44542</v>
      </c>
      <c r="M20" t="s">
        <v>303</v>
      </c>
      <c r="N20" t="s">
        <v>304</v>
      </c>
      <c r="O20" t="s">
        <v>305</v>
      </c>
      <c r="P20" t="s">
        <v>306</v>
      </c>
      <c r="R20" t="s">
        <v>145</v>
      </c>
      <c r="S20" t="s">
        <v>146</v>
      </c>
      <c r="T20" t="s">
        <v>6</v>
      </c>
      <c r="U20" t="s">
        <v>162</v>
      </c>
      <c r="V20" t="s">
        <v>295</v>
      </c>
      <c r="X20" t="s">
        <v>296</v>
      </c>
      <c r="Y20">
        <v>1</v>
      </c>
      <c r="Z20" t="s">
        <v>130</v>
      </c>
      <c r="AA20" t="s">
        <v>307</v>
      </c>
      <c r="AB20" t="s">
        <v>308</v>
      </c>
      <c r="AD20">
        <v>1200</v>
      </c>
      <c r="AF20" t="s">
        <v>133</v>
      </c>
      <c r="AG20" t="s">
        <v>151</v>
      </c>
      <c r="AH20" t="s">
        <v>309</v>
      </c>
      <c r="AI20" t="s">
        <v>310</v>
      </c>
      <c r="AJ20" t="str">
        <f>"68801"</f>
        <v>68801</v>
      </c>
      <c r="AK20" t="str">
        <f>"941000024791453"</f>
        <v>941000024791453</v>
      </c>
      <c r="AM20" t="s">
        <v>311</v>
      </c>
    </row>
    <row r="21" spans="1:39">
      <c r="A21">
        <v>20</v>
      </c>
      <c r="B21" s="24">
        <v>44821</v>
      </c>
      <c r="C21">
        <v>20</v>
      </c>
      <c r="E21">
        <v>2</v>
      </c>
      <c r="F21" t="s">
        <v>117</v>
      </c>
      <c r="G21" t="s">
        <v>118</v>
      </c>
      <c r="H21" t="s">
        <v>312</v>
      </c>
      <c r="I21" t="s">
        <v>29</v>
      </c>
      <c r="J21" t="s">
        <v>313</v>
      </c>
      <c r="L21" s="24">
        <v>44256</v>
      </c>
      <c r="M21" t="s">
        <v>314</v>
      </c>
      <c r="N21" t="s">
        <v>315</v>
      </c>
      <c r="O21" t="s">
        <v>316</v>
      </c>
      <c r="P21" t="s">
        <v>317</v>
      </c>
      <c r="R21" t="s">
        <v>145</v>
      </c>
      <c r="S21" t="s">
        <v>146</v>
      </c>
      <c r="T21" t="s">
        <v>9</v>
      </c>
      <c r="U21" t="s">
        <v>127</v>
      </c>
      <c r="V21" t="s">
        <v>295</v>
      </c>
      <c r="X21" t="s">
        <v>296</v>
      </c>
      <c r="Y21">
        <v>1</v>
      </c>
      <c r="Z21" t="s">
        <v>130</v>
      </c>
      <c r="AA21" t="s">
        <v>318</v>
      </c>
      <c r="AB21" t="s">
        <v>132</v>
      </c>
      <c r="AD21">
        <v>600</v>
      </c>
      <c r="AF21" t="s">
        <v>133</v>
      </c>
      <c r="AG21" t="s">
        <v>151</v>
      </c>
      <c r="AH21" t="s">
        <v>319</v>
      </c>
      <c r="AI21" t="s">
        <v>320</v>
      </c>
      <c r="AJ21" t="str">
        <f>"59261"</f>
        <v>59261</v>
      </c>
      <c r="AK21" t="str">
        <f>"953010004580533"</f>
        <v>953010004580533</v>
      </c>
      <c r="AM21" t="s">
        <v>321</v>
      </c>
    </row>
    <row r="22" spans="1:39">
      <c r="A22">
        <v>21</v>
      </c>
      <c r="B22" s="24">
        <v>44821</v>
      </c>
      <c r="C22">
        <v>21</v>
      </c>
      <c r="E22">
        <v>2</v>
      </c>
      <c r="F22" t="s">
        <v>117</v>
      </c>
      <c r="G22" t="s">
        <v>118</v>
      </c>
      <c r="H22" t="s">
        <v>322</v>
      </c>
      <c r="I22" t="s">
        <v>31</v>
      </c>
      <c r="J22" t="s">
        <v>323</v>
      </c>
      <c r="L22" s="24">
        <v>44283</v>
      </c>
      <c r="M22" t="s">
        <v>324</v>
      </c>
      <c r="N22" t="s">
        <v>325</v>
      </c>
      <c r="O22" t="s">
        <v>326</v>
      </c>
      <c r="P22" t="s">
        <v>327</v>
      </c>
      <c r="R22" t="s">
        <v>145</v>
      </c>
      <c r="S22" t="s">
        <v>146</v>
      </c>
      <c r="T22" t="s">
        <v>10</v>
      </c>
      <c r="U22" t="s">
        <v>210</v>
      </c>
      <c r="V22" t="s">
        <v>295</v>
      </c>
      <c r="X22" t="s">
        <v>296</v>
      </c>
      <c r="Y22">
        <v>1</v>
      </c>
      <c r="Z22" t="s">
        <v>130</v>
      </c>
      <c r="AA22" t="s">
        <v>328</v>
      </c>
      <c r="AB22" t="s">
        <v>132</v>
      </c>
      <c r="AD22">
        <v>600</v>
      </c>
      <c r="AF22" t="s">
        <v>133</v>
      </c>
      <c r="AG22" t="s">
        <v>151</v>
      </c>
      <c r="AH22" t="s">
        <v>329</v>
      </c>
      <c r="AI22" t="s">
        <v>330</v>
      </c>
      <c r="AJ22" t="str">
        <f>"61800"</f>
        <v>61800</v>
      </c>
      <c r="AK22" t="str">
        <f>"945000002272054"</f>
        <v>945000002272054</v>
      </c>
      <c r="AM22" t="s">
        <v>331</v>
      </c>
    </row>
    <row r="23" spans="1:39">
      <c r="A23">
        <v>22</v>
      </c>
      <c r="B23" s="24">
        <v>44821</v>
      </c>
      <c r="C23">
        <v>22</v>
      </c>
      <c r="E23">
        <v>2</v>
      </c>
      <c r="F23" t="s">
        <v>117</v>
      </c>
      <c r="G23" t="s">
        <v>118</v>
      </c>
      <c r="H23" t="s">
        <v>332</v>
      </c>
      <c r="I23" t="s">
        <v>30</v>
      </c>
      <c r="J23" t="s">
        <v>333</v>
      </c>
      <c r="L23" s="24">
        <v>44123</v>
      </c>
      <c r="M23" t="s">
        <v>334</v>
      </c>
      <c r="N23" t="s">
        <v>335</v>
      </c>
      <c r="O23" t="s">
        <v>336</v>
      </c>
      <c r="P23" t="s">
        <v>337</v>
      </c>
      <c r="R23" t="s">
        <v>145</v>
      </c>
      <c r="S23" t="s">
        <v>146</v>
      </c>
      <c r="T23" t="s">
        <v>10</v>
      </c>
      <c r="U23" t="s">
        <v>210</v>
      </c>
      <c r="V23" t="s">
        <v>295</v>
      </c>
      <c r="X23" t="s">
        <v>296</v>
      </c>
      <c r="Y23">
        <v>1</v>
      </c>
      <c r="Z23" t="s">
        <v>130</v>
      </c>
      <c r="AA23" t="s">
        <v>338</v>
      </c>
      <c r="AB23" t="s">
        <v>308</v>
      </c>
      <c r="AD23">
        <v>600</v>
      </c>
      <c r="AF23" t="s">
        <v>133</v>
      </c>
      <c r="AG23" t="s">
        <v>151</v>
      </c>
      <c r="AH23" t="s">
        <v>339</v>
      </c>
      <c r="AI23" t="s">
        <v>175</v>
      </c>
      <c r="AJ23" t="str">
        <f>"60200"</f>
        <v>60200</v>
      </c>
      <c r="AK23" t="str">
        <f>""</f>
        <v/>
      </c>
      <c r="AM23" t="s">
        <v>340</v>
      </c>
    </row>
    <row r="24" spans="1:39">
      <c r="A24">
        <v>23</v>
      </c>
      <c r="B24" s="24">
        <v>44821</v>
      </c>
      <c r="C24">
        <v>23</v>
      </c>
      <c r="E24">
        <v>2</v>
      </c>
      <c r="F24" t="s">
        <v>117</v>
      </c>
      <c r="G24" t="s">
        <v>118</v>
      </c>
      <c r="H24" t="s">
        <v>341</v>
      </c>
      <c r="I24" t="s">
        <v>15</v>
      </c>
      <c r="J24" t="s">
        <v>342</v>
      </c>
      <c r="L24" s="24">
        <v>42873</v>
      </c>
      <c r="M24" t="s">
        <v>343</v>
      </c>
      <c r="N24" t="s">
        <v>344</v>
      </c>
      <c r="O24" t="s">
        <v>217</v>
      </c>
      <c r="P24" t="s">
        <v>345</v>
      </c>
      <c r="R24" t="s">
        <v>145</v>
      </c>
      <c r="S24" t="s">
        <v>146</v>
      </c>
      <c r="T24" t="s">
        <v>10</v>
      </c>
      <c r="U24" t="s">
        <v>210</v>
      </c>
      <c r="V24" t="s">
        <v>295</v>
      </c>
      <c r="X24" t="s">
        <v>296</v>
      </c>
      <c r="Y24">
        <v>1</v>
      </c>
      <c r="Z24" t="s">
        <v>130</v>
      </c>
      <c r="AA24" t="s">
        <v>346</v>
      </c>
      <c r="AB24" t="s">
        <v>132</v>
      </c>
      <c r="AD24">
        <v>600</v>
      </c>
      <c r="AF24" t="s">
        <v>133</v>
      </c>
      <c r="AG24" t="s">
        <v>151</v>
      </c>
      <c r="AH24" t="s">
        <v>347</v>
      </c>
      <c r="AI24" t="s">
        <v>175</v>
      </c>
      <c r="AJ24" t="str">
        <f>"61200"</f>
        <v>61200</v>
      </c>
      <c r="AK24" t="str">
        <f>"203098100404727"</f>
        <v>203098100404727</v>
      </c>
      <c r="AM24" t="s">
        <v>348</v>
      </c>
    </row>
    <row r="25" spans="1:39">
      <c r="A25">
        <v>24</v>
      </c>
      <c r="B25" s="24">
        <v>44821</v>
      </c>
      <c r="C25">
        <v>24</v>
      </c>
      <c r="E25">
        <v>2</v>
      </c>
      <c r="F25" t="s">
        <v>117</v>
      </c>
      <c r="G25" t="s">
        <v>118</v>
      </c>
      <c r="H25" t="s">
        <v>349</v>
      </c>
      <c r="I25" t="s">
        <v>29</v>
      </c>
      <c r="J25" t="s">
        <v>350</v>
      </c>
      <c r="L25" s="24">
        <v>43487</v>
      </c>
      <c r="M25" t="s">
        <v>351</v>
      </c>
      <c r="N25" t="s">
        <v>315</v>
      </c>
      <c r="O25" t="s">
        <v>316</v>
      </c>
      <c r="P25" t="s">
        <v>352</v>
      </c>
      <c r="R25" t="s">
        <v>145</v>
      </c>
      <c r="S25" t="s">
        <v>146</v>
      </c>
      <c r="T25" t="s">
        <v>11</v>
      </c>
      <c r="U25" t="s">
        <v>183</v>
      </c>
      <c r="V25" t="s">
        <v>295</v>
      </c>
      <c r="X25" t="s">
        <v>296</v>
      </c>
      <c r="Y25">
        <v>1</v>
      </c>
      <c r="Z25" t="s">
        <v>130</v>
      </c>
      <c r="AA25" t="s">
        <v>353</v>
      </c>
      <c r="AB25" t="s">
        <v>132</v>
      </c>
      <c r="AD25">
        <v>600</v>
      </c>
      <c r="AF25" t="s">
        <v>133</v>
      </c>
      <c r="AG25" t="s">
        <v>151</v>
      </c>
      <c r="AH25" t="s">
        <v>354</v>
      </c>
      <c r="AI25" t="s">
        <v>355</v>
      </c>
      <c r="AJ25" t="str">
        <f>"500 09"</f>
        <v>500 09</v>
      </c>
      <c r="AK25" t="str">
        <f>"953010001710319"</f>
        <v>953010001710319</v>
      </c>
      <c r="AM25" t="s">
        <v>356</v>
      </c>
    </row>
    <row r="26" spans="1:39">
      <c r="A26">
        <v>25</v>
      </c>
      <c r="B26" s="24">
        <v>44821</v>
      </c>
      <c r="C26">
        <v>25</v>
      </c>
      <c r="E26">
        <v>2</v>
      </c>
      <c r="F26" t="s">
        <v>117</v>
      </c>
      <c r="G26" t="s">
        <v>118</v>
      </c>
      <c r="H26" t="s">
        <v>357</v>
      </c>
      <c r="I26" t="s">
        <v>32</v>
      </c>
      <c r="J26" t="s">
        <v>358</v>
      </c>
      <c r="L26" s="24">
        <v>41885</v>
      </c>
      <c r="M26" t="s">
        <v>359</v>
      </c>
      <c r="N26" t="s">
        <v>360</v>
      </c>
      <c r="O26" t="s">
        <v>361</v>
      </c>
      <c r="P26" t="s">
        <v>192</v>
      </c>
      <c r="R26" t="s">
        <v>145</v>
      </c>
      <c r="S26" t="s">
        <v>146</v>
      </c>
      <c r="T26" t="s">
        <v>20</v>
      </c>
      <c r="U26" t="s">
        <v>362</v>
      </c>
      <c r="V26" t="s">
        <v>295</v>
      </c>
      <c r="X26" t="s">
        <v>296</v>
      </c>
      <c r="Y26">
        <v>1</v>
      </c>
      <c r="Z26" t="s">
        <v>130</v>
      </c>
      <c r="AA26" t="s">
        <v>194</v>
      </c>
      <c r="AB26" t="s">
        <v>195</v>
      </c>
      <c r="AD26">
        <v>400</v>
      </c>
      <c r="AF26" t="s">
        <v>133</v>
      </c>
      <c r="AG26" t="s">
        <v>151</v>
      </c>
      <c r="AH26" t="s">
        <v>196</v>
      </c>
      <c r="AI26" t="s">
        <v>197</v>
      </c>
      <c r="AJ26" t="str">
        <f>"67571"</f>
        <v>67571</v>
      </c>
      <c r="AK26" t="str">
        <f>""</f>
        <v/>
      </c>
      <c r="AM26" t="s">
        <v>363</v>
      </c>
    </row>
    <row r="27" spans="1:39">
      <c r="A27">
        <v>26</v>
      </c>
      <c r="B27" s="24">
        <v>44821</v>
      </c>
      <c r="C27">
        <v>26</v>
      </c>
      <c r="E27">
        <v>2</v>
      </c>
      <c r="F27" t="s">
        <v>117</v>
      </c>
      <c r="G27" t="s">
        <v>118</v>
      </c>
      <c r="H27" t="s">
        <v>364</v>
      </c>
      <c r="I27" t="s">
        <v>31</v>
      </c>
      <c r="J27" t="s">
        <v>365</v>
      </c>
      <c r="L27" s="24">
        <v>44283</v>
      </c>
      <c r="M27" t="s">
        <v>314</v>
      </c>
      <c r="N27" t="s">
        <v>366</v>
      </c>
      <c r="O27" t="s">
        <v>326</v>
      </c>
      <c r="P27" t="s">
        <v>367</v>
      </c>
      <c r="R27" t="s">
        <v>125</v>
      </c>
      <c r="S27" t="s">
        <v>126</v>
      </c>
      <c r="T27" t="s">
        <v>6</v>
      </c>
      <c r="U27" t="s">
        <v>162</v>
      </c>
      <c r="V27" t="s">
        <v>295</v>
      </c>
      <c r="X27" t="s">
        <v>296</v>
      </c>
      <c r="Y27">
        <v>1</v>
      </c>
      <c r="Z27" t="s">
        <v>130</v>
      </c>
      <c r="AA27" t="s">
        <v>368</v>
      </c>
      <c r="AB27" t="s">
        <v>132</v>
      </c>
      <c r="AD27">
        <v>800</v>
      </c>
      <c r="AF27" t="s">
        <v>133</v>
      </c>
      <c r="AG27" t="s">
        <v>134</v>
      </c>
      <c r="AH27" t="s">
        <v>369</v>
      </c>
      <c r="AI27" t="s">
        <v>370</v>
      </c>
      <c r="AJ27" t="str">
        <f>"58841"</f>
        <v>58841</v>
      </c>
      <c r="AK27" t="str">
        <f>""</f>
        <v/>
      </c>
      <c r="AM27" t="s">
        <v>371</v>
      </c>
    </row>
    <row r="28" spans="1:39">
      <c r="A28">
        <v>27</v>
      </c>
      <c r="B28" s="24">
        <v>44821</v>
      </c>
      <c r="C28">
        <v>27</v>
      </c>
      <c r="E28">
        <v>2</v>
      </c>
      <c r="F28" t="s">
        <v>117</v>
      </c>
      <c r="G28" t="s">
        <v>118</v>
      </c>
      <c r="H28" t="s">
        <v>372</v>
      </c>
      <c r="I28" t="s">
        <v>28</v>
      </c>
      <c r="J28" t="s">
        <v>373</v>
      </c>
      <c r="L28" s="24">
        <v>44329</v>
      </c>
      <c r="M28" t="s">
        <v>374</v>
      </c>
      <c r="N28" t="s">
        <v>375</v>
      </c>
      <c r="O28" t="s">
        <v>376</v>
      </c>
      <c r="P28" t="s">
        <v>377</v>
      </c>
      <c r="R28" t="s">
        <v>125</v>
      </c>
      <c r="S28" t="s">
        <v>126</v>
      </c>
      <c r="T28" t="s">
        <v>9</v>
      </c>
      <c r="U28" t="s">
        <v>127</v>
      </c>
      <c r="V28" t="s">
        <v>295</v>
      </c>
      <c r="X28" t="s">
        <v>296</v>
      </c>
      <c r="Y28">
        <v>1</v>
      </c>
      <c r="Z28" t="s">
        <v>130</v>
      </c>
      <c r="AA28" t="s">
        <v>378</v>
      </c>
      <c r="AB28" t="s">
        <v>132</v>
      </c>
      <c r="AD28">
        <v>600</v>
      </c>
      <c r="AF28" t="s">
        <v>133</v>
      </c>
      <c r="AG28" t="s">
        <v>134</v>
      </c>
      <c r="AH28" t="s">
        <v>379</v>
      </c>
      <c r="AI28" t="s">
        <v>380</v>
      </c>
      <c r="AJ28" t="str">
        <f>"39118"</f>
        <v>39118</v>
      </c>
      <c r="AK28" t="str">
        <f>"900163000145066"</f>
        <v>900163000145066</v>
      </c>
      <c r="AM28" t="s">
        <v>381</v>
      </c>
    </row>
    <row r="29" spans="1:39">
      <c r="A29">
        <v>28</v>
      </c>
      <c r="B29" s="24">
        <v>44821</v>
      </c>
      <c r="C29">
        <v>28</v>
      </c>
      <c r="E29">
        <v>2</v>
      </c>
      <c r="F29" t="s">
        <v>117</v>
      </c>
      <c r="G29" t="s">
        <v>118</v>
      </c>
      <c r="H29" t="s">
        <v>382</v>
      </c>
      <c r="I29" t="s">
        <v>383</v>
      </c>
      <c r="J29" t="s">
        <v>384</v>
      </c>
      <c r="L29" s="24">
        <v>43992</v>
      </c>
      <c r="M29" t="s">
        <v>314</v>
      </c>
      <c r="N29" t="s">
        <v>385</v>
      </c>
      <c r="O29" t="s">
        <v>386</v>
      </c>
      <c r="P29" t="s">
        <v>387</v>
      </c>
      <c r="R29" t="s">
        <v>125</v>
      </c>
      <c r="S29" t="s">
        <v>126</v>
      </c>
      <c r="T29" t="s">
        <v>10</v>
      </c>
      <c r="U29" t="s">
        <v>210</v>
      </c>
      <c r="V29" t="s">
        <v>295</v>
      </c>
      <c r="X29" t="s">
        <v>296</v>
      </c>
      <c r="Y29">
        <v>1</v>
      </c>
      <c r="Z29" t="s">
        <v>130</v>
      </c>
      <c r="AA29" t="s">
        <v>388</v>
      </c>
      <c r="AB29" t="s">
        <v>132</v>
      </c>
      <c r="AD29">
        <v>1200</v>
      </c>
      <c r="AF29" t="s">
        <v>133</v>
      </c>
      <c r="AG29" t="s">
        <v>134</v>
      </c>
      <c r="AH29" t="s">
        <v>389</v>
      </c>
      <c r="AI29" t="s">
        <v>175</v>
      </c>
      <c r="AJ29" t="str">
        <f>"602 00"</f>
        <v>602 00</v>
      </c>
      <c r="AK29" t="str">
        <f>"203003000601159"</f>
        <v>203003000601159</v>
      </c>
      <c r="AM29" t="s">
        <v>390</v>
      </c>
    </row>
    <row r="30" spans="1:39">
      <c r="A30">
        <v>29</v>
      </c>
      <c r="B30" s="24">
        <v>44821</v>
      </c>
      <c r="C30">
        <v>29</v>
      </c>
      <c r="E30">
        <v>2</v>
      </c>
      <c r="F30" t="s">
        <v>117</v>
      </c>
      <c r="G30" t="s">
        <v>118</v>
      </c>
      <c r="H30" t="s">
        <v>391</v>
      </c>
      <c r="I30" t="s">
        <v>15</v>
      </c>
      <c r="J30" t="s">
        <v>392</v>
      </c>
      <c r="L30" s="24">
        <v>43930</v>
      </c>
      <c r="M30" t="s">
        <v>303</v>
      </c>
      <c r="N30" t="s">
        <v>393</v>
      </c>
      <c r="O30" t="s">
        <v>217</v>
      </c>
      <c r="P30" t="s">
        <v>218</v>
      </c>
      <c r="R30" t="s">
        <v>125</v>
      </c>
      <c r="S30" t="s">
        <v>126</v>
      </c>
      <c r="T30" t="s">
        <v>10</v>
      </c>
      <c r="U30" t="s">
        <v>210</v>
      </c>
      <c r="V30" t="s">
        <v>295</v>
      </c>
      <c r="X30" t="s">
        <v>296</v>
      </c>
      <c r="Y30">
        <v>1</v>
      </c>
      <c r="Z30" t="s">
        <v>130</v>
      </c>
      <c r="AA30" t="s">
        <v>219</v>
      </c>
      <c r="AB30" t="s">
        <v>132</v>
      </c>
      <c r="AD30">
        <v>1300</v>
      </c>
      <c r="AF30" t="s">
        <v>133</v>
      </c>
      <c r="AG30" t="s">
        <v>134</v>
      </c>
      <c r="AH30" t="s">
        <v>220</v>
      </c>
      <c r="AI30" t="s">
        <v>175</v>
      </c>
      <c r="AJ30" t="str">
        <f>"61900"</f>
        <v>61900</v>
      </c>
      <c r="AK30" t="str">
        <f>"203098100547412"</f>
        <v>203098100547412</v>
      </c>
      <c r="AM30" t="s">
        <v>394</v>
      </c>
    </row>
    <row r="31" spans="1:39">
      <c r="A31">
        <v>30</v>
      </c>
      <c r="B31" s="24">
        <v>44821</v>
      </c>
      <c r="C31">
        <v>30</v>
      </c>
      <c r="E31">
        <v>2</v>
      </c>
      <c r="F31" t="s">
        <v>117</v>
      </c>
      <c r="G31" t="s">
        <v>118</v>
      </c>
      <c r="H31" t="s">
        <v>395</v>
      </c>
      <c r="I31" t="s">
        <v>288</v>
      </c>
      <c r="J31" t="s">
        <v>396</v>
      </c>
      <c r="L31" s="24">
        <v>44269</v>
      </c>
      <c r="M31" t="s">
        <v>397</v>
      </c>
      <c r="N31" t="s">
        <v>291</v>
      </c>
      <c r="O31" t="s">
        <v>292</v>
      </c>
      <c r="P31" t="s">
        <v>398</v>
      </c>
      <c r="R31" t="s">
        <v>125</v>
      </c>
      <c r="S31" t="s">
        <v>126</v>
      </c>
      <c r="T31" t="s">
        <v>10</v>
      </c>
      <c r="U31" t="s">
        <v>210</v>
      </c>
      <c r="V31" t="s">
        <v>295</v>
      </c>
      <c r="X31" t="s">
        <v>296</v>
      </c>
      <c r="Y31">
        <v>1</v>
      </c>
      <c r="Z31" t="s">
        <v>130</v>
      </c>
      <c r="AA31" t="s">
        <v>399</v>
      </c>
      <c r="AB31" t="s">
        <v>132</v>
      </c>
      <c r="AD31">
        <v>600</v>
      </c>
      <c r="AF31" t="s">
        <v>133</v>
      </c>
      <c r="AG31" t="s">
        <v>134</v>
      </c>
      <c r="AH31" t="s">
        <v>400</v>
      </c>
      <c r="AI31" t="s">
        <v>401</v>
      </c>
      <c r="AJ31" t="str">
        <f>"77900"</f>
        <v>77900</v>
      </c>
      <c r="AK31" t="str">
        <f>"963002100020568"</f>
        <v>963002100020568</v>
      </c>
      <c r="AM31" t="s">
        <v>402</v>
      </c>
    </row>
    <row r="32" spans="1:39">
      <c r="A32">
        <v>31</v>
      </c>
      <c r="B32" s="24">
        <v>44821</v>
      </c>
      <c r="C32">
        <v>31</v>
      </c>
      <c r="E32">
        <v>2</v>
      </c>
      <c r="F32" t="s">
        <v>117</v>
      </c>
      <c r="G32" t="s">
        <v>118</v>
      </c>
      <c r="H32" t="s">
        <v>403</v>
      </c>
      <c r="I32" t="s">
        <v>24</v>
      </c>
      <c r="J32" t="s">
        <v>404</v>
      </c>
      <c r="L32" s="24">
        <v>42984</v>
      </c>
      <c r="M32" t="s">
        <v>405</v>
      </c>
      <c r="N32" t="s">
        <v>406</v>
      </c>
      <c r="O32" t="s">
        <v>249</v>
      </c>
      <c r="P32" t="s">
        <v>1</v>
      </c>
      <c r="R32" t="s">
        <v>125</v>
      </c>
      <c r="S32" t="s">
        <v>126</v>
      </c>
      <c r="T32" t="s">
        <v>11</v>
      </c>
      <c r="U32" t="s">
        <v>183</v>
      </c>
      <c r="V32" t="s">
        <v>295</v>
      </c>
      <c r="X32" t="s">
        <v>296</v>
      </c>
      <c r="Y32">
        <v>1</v>
      </c>
      <c r="Z32" t="s">
        <v>130</v>
      </c>
      <c r="AA32" t="s">
        <v>250</v>
      </c>
      <c r="AB32" t="s">
        <v>132</v>
      </c>
      <c r="AD32">
        <v>2500</v>
      </c>
      <c r="AF32" t="s">
        <v>133</v>
      </c>
      <c r="AG32" t="s">
        <v>134</v>
      </c>
      <c r="AH32" t="s">
        <v>251</v>
      </c>
      <c r="AI32" t="s">
        <v>252</v>
      </c>
      <c r="AJ32" t="str">
        <f>"26401"</f>
        <v>26401</v>
      </c>
      <c r="AK32" t="str">
        <f>"934000080032565"</f>
        <v>934000080032565</v>
      </c>
      <c r="AM32" t="s">
        <v>407</v>
      </c>
    </row>
    <row r="33" spans="1:39">
      <c r="A33">
        <v>32</v>
      </c>
      <c r="B33" s="24">
        <v>44821</v>
      </c>
      <c r="C33">
        <v>32</v>
      </c>
      <c r="E33">
        <v>2</v>
      </c>
      <c r="F33" t="s">
        <v>117</v>
      </c>
      <c r="G33" t="s">
        <v>118</v>
      </c>
      <c r="H33" t="s">
        <v>408</v>
      </c>
      <c r="I33" t="s">
        <v>33</v>
      </c>
      <c r="J33" t="s">
        <v>409</v>
      </c>
      <c r="L33" s="24">
        <v>44330</v>
      </c>
      <c r="M33" t="s">
        <v>410</v>
      </c>
      <c r="N33" t="s">
        <v>411</v>
      </c>
      <c r="O33" t="s">
        <v>412</v>
      </c>
      <c r="P33" t="s">
        <v>413</v>
      </c>
      <c r="R33" t="s">
        <v>145</v>
      </c>
      <c r="S33" t="s">
        <v>146</v>
      </c>
      <c r="T33" t="s">
        <v>9</v>
      </c>
      <c r="U33" t="s">
        <v>127</v>
      </c>
      <c r="V33" t="s">
        <v>414</v>
      </c>
      <c r="X33" t="s">
        <v>415</v>
      </c>
      <c r="Y33">
        <v>1</v>
      </c>
      <c r="Z33" t="s">
        <v>130</v>
      </c>
      <c r="AA33" t="s">
        <v>416</v>
      </c>
      <c r="AB33" t="s">
        <v>132</v>
      </c>
      <c r="AD33">
        <v>600</v>
      </c>
      <c r="AF33" t="s">
        <v>133</v>
      </c>
      <c r="AG33" t="s">
        <v>151</v>
      </c>
      <c r="AH33" t="s">
        <v>417</v>
      </c>
      <c r="AI33" t="s">
        <v>418</v>
      </c>
      <c r="AJ33" t="str">
        <f>"74757"</f>
        <v>74757</v>
      </c>
      <c r="AK33" t="str">
        <f>"6 4 3 0 9 3 3 0 0 2 0 2 5 7 6"</f>
        <v>6 4 3 0 9 3 3 0 0 2 0 2 5 7 6</v>
      </c>
      <c r="AM33" t="s">
        <v>419</v>
      </c>
    </row>
    <row r="34" spans="1:39">
      <c r="A34">
        <v>33</v>
      </c>
      <c r="B34" s="24">
        <v>44821</v>
      </c>
      <c r="C34">
        <v>33</v>
      </c>
      <c r="E34">
        <v>2</v>
      </c>
      <c r="F34" t="s">
        <v>117</v>
      </c>
      <c r="G34" t="s">
        <v>118</v>
      </c>
      <c r="H34" t="s">
        <v>420</v>
      </c>
      <c r="I34" t="s">
        <v>421</v>
      </c>
      <c r="J34" t="s">
        <v>422</v>
      </c>
      <c r="L34" s="24">
        <v>44426</v>
      </c>
      <c r="M34" t="s">
        <v>423</v>
      </c>
      <c r="N34" t="s">
        <v>424</v>
      </c>
      <c r="O34" t="s">
        <v>425</v>
      </c>
      <c r="P34" t="s">
        <v>426</v>
      </c>
      <c r="R34" t="s">
        <v>125</v>
      </c>
      <c r="S34" t="s">
        <v>126</v>
      </c>
      <c r="T34" t="s">
        <v>6</v>
      </c>
      <c r="U34" t="s">
        <v>162</v>
      </c>
      <c r="V34" t="s">
        <v>414</v>
      </c>
      <c r="X34" t="s">
        <v>415</v>
      </c>
      <c r="Y34">
        <v>1</v>
      </c>
      <c r="Z34" t="s">
        <v>130</v>
      </c>
      <c r="AA34" t="s">
        <v>427</v>
      </c>
      <c r="AB34" t="s">
        <v>132</v>
      </c>
      <c r="AD34">
        <v>1200</v>
      </c>
      <c r="AF34" t="s">
        <v>133</v>
      </c>
      <c r="AG34" t="s">
        <v>134</v>
      </c>
      <c r="AH34" t="s">
        <v>428</v>
      </c>
      <c r="AI34" t="s">
        <v>175</v>
      </c>
      <c r="AJ34" t="str">
        <f>"62800"</f>
        <v>62800</v>
      </c>
      <c r="AK34" t="str">
        <f>""</f>
        <v/>
      </c>
      <c r="AM34" t="s">
        <v>429</v>
      </c>
    </row>
    <row r="35" spans="1:39">
      <c r="A35">
        <v>34</v>
      </c>
      <c r="B35" s="24">
        <v>44821</v>
      </c>
      <c r="C35">
        <v>34</v>
      </c>
      <c r="E35">
        <v>2</v>
      </c>
      <c r="F35" t="s">
        <v>117</v>
      </c>
      <c r="G35" t="s">
        <v>118</v>
      </c>
      <c r="H35" t="s">
        <v>430</v>
      </c>
      <c r="I35" t="s">
        <v>34</v>
      </c>
      <c r="J35" t="s">
        <v>431</v>
      </c>
      <c r="L35" s="24">
        <v>44315</v>
      </c>
      <c r="M35" t="s">
        <v>432</v>
      </c>
      <c r="N35" t="s">
        <v>433</v>
      </c>
      <c r="O35" t="s">
        <v>434</v>
      </c>
      <c r="P35" t="s">
        <v>435</v>
      </c>
      <c r="R35" t="s">
        <v>125</v>
      </c>
      <c r="S35" t="s">
        <v>126</v>
      </c>
      <c r="T35" t="s">
        <v>9</v>
      </c>
      <c r="U35" t="s">
        <v>127</v>
      </c>
      <c r="V35" t="s">
        <v>414</v>
      </c>
      <c r="X35" t="s">
        <v>415</v>
      </c>
      <c r="Y35">
        <v>1</v>
      </c>
      <c r="Z35" t="s">
        <v>130</v>
      </c>
      <c r="AA35" t="s">
        <v>436</v>
      </c>
      <c r="AB35" t="s">
        <v>132</v>
      </c>
      <c r="AD35">
        <v>600</v>
      </c>
      <c r="AF35" t="s">
        <v>133</v>
      </c>
      <c r="AG35" t="s">
        <v>134</v>
      </c>
      <c r="AH35" t="s">
        <v>437</v>
      </c>
      <c r="AI35" t="s">
        <v>438</v>
      </c>
      <c r="AJ35" t="str">
        <f>"76701"</f>
        <v>76701</v>
      </c>
      <c r="AK35" t="str">
        <f>"900085001188333"</f>
        <v>900085001188333</v>
      </c>
      <c r="AM35" t="s">
        <v>439</v>
      </c>
    </row>
    <row r="36" spans="1:39">
      <c r="A36">
        <v>35</v>
      </c>
      <c r="B36" s="24">
        <v>44821</v>
      </c>
      <c r="C36">
        <v>35</v>
      </c>
      <c r="E36">
        <v>2</v>
      </c>
      <c r="F36" t="s">
        <v>117</v>
      </c>
      <c r="G36" t="s">
        <v>118</v>
      </c>
      <c r="H36" t="s">
        <v>440</v>
      </c>
      <c r="I36" t="s">
        <v>441</v>
      </c>
      <c r="J36" t="s">
        <v>442</v>
      </c>
      <c r="L36" s="24">
        <v>43517</v>
      </c>
      <c r="M36" t="s">
        <v>443</v>
      </c>
      <c r="N36" t="s">
        <v>444</v>
      </c>
      <c r="O36" t="s">
        <v>445</v>
      </c>
      <c r="P36" t="s">
        <v>446</v>
      </c>
      <c r="R36" t="s">
        <v>125</v>
      </c>
      <c r="S36" t="s">
        <v>126</v>
      </c>
      <c r="T36" t="s">
        <v>10</v>
      </c>
      <c r="U36" t="s">
        <v>210</v>
      </c>
      <c r="V36" t="s">
        <v>414</v>
      </c>
      <c r="X36" t="s">
        <v>415</v>
      </c>
      <c r="Y36">
        <v>1</v>
      </c>
      <c r="Z36" t="s">
        <v>130</v>
      </c>
      <c r="AA36" t="s">
        <v>447</v>
      </c>
      <c r="AB36" t="s">
        <v>132</v>
      </c>
      <c r="AD36">
        <v>600</v>
      </c>
      <c r="AF36" t="s">
        <v>133</v>
      </c>
      <c r="AG36" t="s">
        <v>134</v>
      </c>
      <c r="AH36" t="s">
        <v>448</v>
      </c>
      <c r="AI36" t="s">
        <v>175</v>
      </c>
      <c r="AJ36" t="str">
        <f>"62500"</f>
        <v>62500</v>
      </c>
      <c r="AK36" t="str">
        <f>"203094100004115"</f>
        <v>203094100004115</v>
      </c>
      <c r="AM36" t="s">
        <v>449</v>
      </c>
    </row>
    <row r="37" spans="1:39">
      <c r="A37">
        <v>36</v>
      </c>
      <c r="B37" s="24">
        <v>44821</v>
      </c>
      <c r="C37">
        <v>36</v>
      </c>
      <c r="E37">
        <v>2</v>
      </c>
      <c r="F37" t="s">
        <v>117</v>
      </c>
      <c r="G37" t="s">
        <v>118</v>
      </c>
      <c r="H37" t="s">
        <v>450</v>
      </c>
      <c r="I37" t="s">
        <v>451</v>
      </c>
      <c r="J37" t="s">
        <v>452</v>
      </c>
      <c r="L37" s="24">
        <v>42509</v>
      </c>
      <c r="M37" t="s">
        <v>453</v>
      </c>
      <c r="N37" t="s">
        <v>454</v>
      </c>
      <c r="O37" t="s">
        <v>455</v>
      </c>
      <c r="P37" t="s">
        <v>413</v>
      </c>
      <c r="R37" t="s">
        <v>125</v>
      </c>
      <c r="S37" t="s">
        <v>126</v>
      </c>
      <c r="T37" t="s">
        <v>11</v>
      </c>
      <c r="U37" t="s">
        <v>183</v>
      </c>
      <c r="V37" t="s">
        <v>414</v>
      </c>
      <c r="X37" t="s">
        <v>415</v>
      </c>
      <c r="Y37">
        <v>1</v>
      </c>
      <c r="Z37" t="s">
        <v>130</v>
      </c>
      <c r="AA37" t="s">
        <v>416</v>
      </c>
      <c r="AB37" t="s">
        <v>132</v>
      </c>
      <c r="AD37">
        <v>600</v>
      </c>
      <c r="AF37" t="s">
        <v>133</v>
      </c>
      <c r="AG37" t="s">
        <v>134</v>
      </c>
      <c r="AH37" t="s">
        <v>417</v>
      </c>
      <c r="AI37" t="s">
        <v>418</v>
      </c>
      <c r="AJ37" t="str">
        <f>"74757"</f>
        <v>74757</v>
      </c>
      <c r="AK37" t="str">
        <f>""</f>
        <v/>
      </c>
      <c r="AM37" t="s">
        <v>456</v>
      </c>
    </row>
    <row r="38" spans="1:39">
      <c r="A38">
        <v>37</v>
      </c>
      <c r="B38" s="24">
        <v>44821</v>
      </c>
      <c r="C38">
        <v>37</v>
      </c>
      <c r="E38">
        <v>2</v>
      </c>
      <c r="F38" t="s">
        <v>117</v>
      </c>
      <c r="G38" t="s">
        <v>118</v>
      </c>
      <c r="H38" t="s">
        <v>457</v>
      </c>
      <c r="I38" t="s">
        <v>35</v>
      </c>
      <c r="J38" t="s">
        <v>458</v>
      </c>
      <c r="L38" s="24">
        <v>44449</v>
      </c>
      <c r="M38" t="s">
        <v>459</v>
      </c>
      <c r="N38" t="s">
        <v>460</v>
      </c>
      <c r="O38" t="s">
        <v>461</v>
      </c>
      <c r="P38" t="s">
        <v>462</v>
      </c>
      <c r="R38" t="s">
        <v>145</v>
      </c>
      <c r="S38" t="s">
        <v>146</v>
      </c>
      <c r="T38" t="s">
        <v>6</v>
      </c>
      <c r="U38" t="s">
        <v>162</v>
      </c>
      <c r="V38" t="s">
        <v>463</v>
      </c>
      <c r="X38" t="s">
        <v>464</v>
      </c>
      <c r="Y38">
        <v>1</v>
      </c>
      <c r="Z38" t="s">
        <v>130</v>
      </c>
      <c r="AA38" t="s">
        <v>465</v>
      </c>
      <c r="AB38" t="s">
        <v>132</v>
      </c>
      <c r="AD38">
        <v>1100</v>
      </c>
      <c r="AF38" t="s">
        <v>133</v>
      </c>
      <c r="AG38" t="s">
        <v>151</v>
      </c>
      <c r="AH38" t="s">
        <v>466</v>
      </c>
      <c r="AI38" t="s">
        <v>467</v>
      </c>
      <c r="AJ38" t="str">
        <f>"542 26"</f>
        <v>542 26</v>
      </c>
      <c r="AK38" t="str">
        <f>"203164000117302"</f>
        <v>203164000117302</v>
      </c>
      <c r="AM38" t="s">
        <v>468</v>
      </c>
    </row>
    <row r="39" spans="1:39">
      <c r="A39">
        <v>38</v>
      </c>
      <c r="B39" s="24">
        <v>44821</v>
      </c>
      <c r="C39">
        <v>38</v>
      </c>
      <c r="E39">
        <v>2</v>
      </c>
      <c r="F39" t="s">
        <v>117</v>
      </c>
      <c r="G39" t="s">
        <v>118</v>
      </c>
      <c r="H39" t="s">
        <v>469</v>
      </c>
      <c r="I39" t="s">
        <v>470</v>
      </c>
      <c r="J39" t="s">
        <v>471</v>
      </c>
      <c r="L39" s="24">
        <v>44640</v>
      </c>
      <c r="M39" t="s">
        <v>472</v>
      </c>
      <c r="N39" t="s">
        <v>473</v>
      </c>
      <c r="O39" t="s">
        <v>474</v>
      </c>
      <c r="P39" t="s">
        <v>475</v>
      </c>
      <c r="R39" t="s">
        <v>125</v>
      </c>
      <c r="S39" t="s">
        <v>126</v>
      </c>
      <c r="T39" t="s">
        <v>22</v>
      </c>
      <c r="U39" t="s">
        <v>294</v>
      </c>
      <c r="V39" t="s">
        <v>463</v>
      </c>
      <c r="X39" t="s">
        <v>464</v>
      </c>
      <c r="Y39">
        <v>1</v>
      </c>
      <c r="Z39" t="s">
        <v>130</v>
      </c>
      <c r="AA39" t="s">
        <v>476</v>
      </c>
      <c r="AB39" t="s">
        <v>132</v>
      </c>
      <c r="AD39">
        <v>200</v>
      </c>
      <c r="AF39" t="s">
        <v>133</v>
      </c>
      <c r="AG39" t="s">
        <v>134</v>
      </c>
      <c r="AH39" t="s">
        <v>477</v>
      </c>
      <c r="AI39" t="s">
        <v>175</v>
      </c>
      <c r="AJ39" t="str">
        <f>"61400"</f>
        <v>61400</v>
      </c>
      <c r="AK39" t="str">
        <f>"900163000234919"</f>
        <v>900163000234919</v>
      </c>
      <c r="AM39" t="s">
        <v>478</v>
      </c>
    </row>
    <row r="40" spans="1:39">
      <c r="A40">
        <v>39</v>
      </c>
      <c r="B40" s="24">
        <v>44821</v>
      </c>
      <c r="C40">
        <v>39</v>
      </c>
      <c r="E40">
        <v>2</v>
      </c>
      <c r="F40" t="s">
        <v>117</v>
      </c>
      <c r="G40" t="s">
        <v>118</v>
      </c>
      <c r="H40" t="s">
        <v>479</v>
      </c>
      <c r="I40" t="s">
        <v>35</v>
      </c>
      <c r="J40" t="s">
        <v>480</v>
      </c>
      <c r="L40" s="24">
        <v>44449</v>
      </c>
      <c r="M40" t="s">
        <v>472</v>
      </c>
      <c r="N40" t="s">
        <v>481</v>
      </c>
      <c r="O40" t="s">
        <v>461</v>
      </c>
      <c r="P40" t="s">
        <v>482</v>
      </c>
      <c r="R40" t="s">
        <v>125</v>
      </c>
      <c r="S40" t="s">
        <v>126</v>
      </c>
      <c r="T40" t="s">
        <v>6</v>
      </c>
      <c r="U40" t="s">
        <v>162</v>
      </c>
      <c r="V40" t="s">
        <v>463</v>
      </c>
      <c r="X40" t="s">
        <v>464</v>
      </c>
      <c r="Y40">
        <v>1</v>
      </c>
      <c r="Z40" t="s">
        <v>130</v>
      </c>
      <c r="AA40" t="s">
        <v>483</v>
      </c>
      <c r="AB40" t="s">
        <v>132</v>
      </c>
      <c r="AD40">
        <v>600</v>
      </c>
      <c r="AF40" t="s">
        <v>133</v>
      </c>
      <c r="AG40" t="s">
        <v>134</v>
      </c>
      <c r="AH40" t="s">
        <v>484</v>
      </c>
      <c r="AI40" t="s">
        <v>186</v>
      </c>
      <c r="AJ40" t="str">
        <f>"67801"</f>
        <v>67801</v>
      </c>
      <c r="AK40" t="str">
        <f>"203164000117303"</f>
        <v>203164000117303</v>
      </c>
      <c r="AM40" t="s">
        <v>485</v>
      </c>
    </row>
    <row r="41" spans="1:39">
      <c r="A41">
        <v>40</v>
      </c>
      <c r="B41" s="24">
        <v>44821</v>
      </c>
      <c r="C41">
        <v>40</v>
      </c>
      <c r="E41">
        <v>2</v>
      </c>
      <c r="F41" t="s">
        <v>117</v>
      </c>
      <c r="G41" t="s">
        <v>118</v>
      </c>
      <c r="H41" t="s">
        <v>486</v>
      </c>
      <c r="I41" t="s">
        <v>36</v>
      </c>
      <c r="J41" t="s">
        <v>487</v>
      </c>
      <c r="L41" s="24">
        <v>44363</v>
      </c>
      <c r="M41" t="s">
        <v>488</v>
      </c>
      <c r="N41" t="s">
        <v>489</v>
      </c>
      <c r="O41" t="s">
        <v>490</v>
      </c>
      <c r="P41" t="s">
        <v>491</v>
      </c>
      <c r="R41" t="s">
        <v>125</v>
      </c>
      <c r="S41" t="s">
        <v>126</v>
      </c>
      <c r="T41" t="s">
        <v>9</v>
      </c>
      <c r="U41" t="s">
        <v>127</v>
      </c>
      <c r="V41" t="s">
        <v>463</v>
      </c>
      <c r="X41" t="s">
        <v>464</v>
      </c>
      <c r="Y41">
        <v>1</v>
      </c>
      <c r="Z41" t="s">
        <v>130</v>
      </c>
      <c r="AA41" t="s">
        <v>492</v>
      </c>
      <c r="AB41" t="s">
        <v>132</v>
      </c>
      <c r="AD41">
        <v>600</v>
      </c>
      <c r="AF41" t="s">
        <v>133</v>
      </c>
      <c r="AG41" t="s">
        <v>134</v>
      </c>
      <c r="AH41" t="s">
        <v>493</v>
      </c>
      <c r="AI41" t="s">
        <v>494</v>
      </c>
      <c r="AJ41" t="str">
        <f>"67575"</f>
        <v>67575</v>
      </c>
      <c r="AK41" t="str">
        <f>"203001003636389"</f>
        <v>203001003636389</v>
      </c>
      <c r="AM41" t="s">
        <v>495</v>
      </c>
    </row>
    <row r="42" spans="1:39">
      <c r="A42">
        <v>41</v>
      </c>
      <c r="B42" s="24">
        <v>44821</v>
      </c>
      <c r="C42">
        <v>41</v>
      </c>
      <c r="E42">
        <v>2</v>
      </c>
      <c r="F42" t="s">
        <v>117</v>
      </c>
      <c r="G42" t="s">
        <v>118</v>
      </c>
      <c r="H42" t="s">
        <v>496</v>
      </c>
      <c r="I42" t="s">
        <v>37</v>
      </c>
      <c r="J42" t="s">
        <v>497</v>
      </c>
      <c r="L42" s="24">
        <v>44331</v>
      </c>
      <c r="M42" t="s">
        <v>498</v>
      </c>
      <c r="N42" t="s">
        <v>499</v>
      </c>
      <c r="O42" t="s">
        <v>500</v>
      </c>
      <c r="P42" t="s">
        <v>501</v>
      </c>
      <c r="R42" t="s">
        <v>125</v>
      </c>
      <c r="S42" t="s">
        <v>126</v>
      </c>
      <c r="T42" t="s">
        <v>9</v>
      </c>
      <c r="U42" t="s">
        <v>127</v>
      </c>
      <c r="V42" t="s">
        <v>463</v>
      </c>
      <c r="X42" t="s">
        <v>464</v>
      </c>
      <c r="Y42">
        <v>1</v>
      </c>
      <c r="Z42" t="s">
        <v>130</v>
      </c>
      <c r="AA42" t="s">
        <v>502</v>
      </c>
      <c r="AB42" t="s">
        <v>132</v>
      </c>
      <c r="AD42">
        <v>800</v>
      </c>
      <c r="AF42" t="s">
        <v>133</v>
      </c>
      <c r="AG42" t="s">
        <v>134</v>
      </c>
      <c r="AH42" t="s">
        <v>503</v>
      </c>
      <c r="AI42" t="s">
        <v>504</v>
      </c>
      <c r="AJ42" t="str">
        <f>"66452"</f>
        <v>66452</v>
      </c>
      <c r="AK42" t="str">
        <f>"203164000126860"</f>
        <v>203164000126860</v>
      </c>
      <c r="AM42" t="s">
        <v>505</v>
      </c>
    </row>
    <row r="43" spans="1:39">
      <c r="A43">
        <v>42</v>
      </c>
      <c r="B43" s="24">
        <v>44821</v>
      </c>
      <c r="C43">
        <v>42</v>
      </c>
      <c r="E43">
        <v>2</v>
      </c>
      <c r="F43" t="s">
        <v>117</v>
      </c>
      <c r="G43" t="s">
        <v>118</v>
      </c>
      <c r="H43" t="s">
        <v>506</v>
      </c>
      <c r="I43" t="s">
        <v>14</v>
      </c>
      <c r="J43" t="s">
        <v>507</v>
      </c>
      <c r="L43" s="24">
        <v>44245</v>
      </c>
      <c r="M43" t="s">
        <v>508</v>
      </c>
      <c r="N43" t="s">
        <v>509</v>
      </c>
      <c r="O43" t="s">
        <v>510</v>
      </c>
      <c r="P43" t="s">
        <v>511</v>
      </c>
      <c r="R43" t="s">
        <v>125</v>
      </c>
      <c r="S43" t="s">
        <v>126</v>
      </c>
      <c r="T43" t="s">
        <v>10</v>
      </c>
      <c r="U43" t="s">
        <v>210</v>
      </c>
      <c r="V43" t="s">
        <v>463</v>
      </c>
      <c r="X43" t="s">
        <v>464</v>
      </c>
      <c r="Y43">
        <v>1</v>
      </c>
      <c r="Z43" t="s">
        <v>130</v>
      </c>
      <c r="AA43" t="s">
        <v>512</v>
      </c>
      <c r="AB43" t="s">
        <v>132</v>
      </c>
      <c r="AD43">
        <v>600</v>
      </c>
      <c r="AF43" t="s">
        <v>133</v>
      </c>
      <c r="AG43" t="s">
        <v>134</v>
      </c>
      <c r="AH43" t="s">
        <v>513</v>
      </c>
      <c r="AI43" t="s">
        <v>514</v>
      </c>
      <c r="AJ43" t="str">
        <f>"67401"</f>
        <v>67401</v>
      </c>
      <c r="AK43" t="str">
        <f>"900203000047338"</f>
        <v>900203000047338</v>
      </c>
      <c r="AM43" t="s">
        <v>515</v>
      </c>
    </row>
    <row r="44" spans="1:39">
      <c r="A44">
        <v>43</v>
      </c>
      <c r="B44" s="24">
        <v>44821</v>
      </c>
      <c r="C44">
        <v>43</v>
      </c>
      <c r="E44">
        <v>2</v>
      </c>
      <c r="F44" t="s">
        <v>117</v>
      </c>
      <c r="G44" t="s">
        <v>118</v>
      </c>
      <c r="H44" t="s">
        <v>516</v>
      </c>
      <c r="I44" t="s">
        <v>37</v>
      </c>
      <c r="J44" t="s">
        <v>517</v>
      </c>
      <c r="L44" s="24">
        <v>43936</v>
      </c>
      <c r="M44" t="s">
        <v>518</v>
      </c>
      <c r="N44" t="s">
        <v>499</v>
      </c>
      <c r="O44" t="s">
        <v>500</v>
      </c>
      <c r="P44" t="s">
        <v>519</v>
      </c>
      <c r="R44" t="s">
        <v>125</v>
      </c>
      <c r="S44" t="s">
        <v>126</v>
      </c>
      <c r="T44" t="s">
        <v>10</v>
      </c>
      <c r="U44" t="s">
        <v>210</v>
      </c>
      <c r="V44" t="s">
        <v>463</v>
      </c>
      <c r="X44" t="s">
        <v>464</v>
      </c>
      <c r="Y44">
        <v>1</v>
      </c>
      <c r="Z44" t="s">
        <v>130</v>
      </c>
      <c r="AA44" t="s">
        <v>520</v>
      </c>
      <c r="AB44" t="s">
        <v>132</v>
      </c>
      <c r="AD44">
        <v>600</v>
      </c>
      <c r="AF44" t="s">
        <v>133</v>
      </c>
      <c r="AG44" t="s">
        <v>134</v>
      </c>
      <c r="AH44" t="s">
        <v>521</v>
      </c>
      <c r="AI44" t="s">
        <v>522</v>
      </c>
      <c r="AJ44" t="str">
        <f>"66448"</f>
        <v>66448</v>
      </c>
      <c r="AK44" t="str">
        <f>"203164000115419"</f>
        <v>203164000115419</v>
      </c>
      <c r="AM44" t="s">
        <v>523</v>
      </c>
    </row>
    <row r="45" spans="1:39">
      <c r="A45">
        <v>44</v>
      </c>
      <c r="B45" s="24">
        <v>44821</v>
      </c>
      <c r="C45">
        <v>44</v>
      </c>
      <c r="E45">
        <v>2</v>
      </c>
      <c r="F45" t="s">
        <v>117</v>
      </c>
      <c r="G45" t="s">
        <v>118</v>
      </c>
      <c r="H45" t="s">
        <v>524</v>
      </c>
      <c r="I45" t="s">
        <v>35</v>
      </c>
      <c r="J45" t="s">
        <v>525</v>
      </c>
      <c r="L45" s="24">
        <v>43171</v>
      </c>
      <c r="M45" t="s">
        <v>526</v>
      </c>
      <c r="N45" t="s">
        <v>527</v>
      </c>
      <c r="O45" t="s">
        <v>461</v>
      </c>
      <c r="P45" t="s">
        <v>462</v>
      </c>
      <c r="R45" t="s">
        <v>125</v>
      </c>
      <c r="S45" t="s">
        <v>126</v>
      </c>
      <c r="T45" t="s">
        <v>11</v>
      </c>
      <c r="U45" t="s">
        <v>183</v>
      </c>
      <c r="V45" t="s">
        <v>463</v>
      </c>
      <c r="X45" t="s">
        <v>464</v>
      </c>
      <c r="Y45">
        <v>1</v>
      </c>
      <c r="Z45" t="s">
        <v>130</v>
      </c>
      <c r="AA45" t="s">
        <v>465</v>
      </c>
      <c r="AB45" t="s">
        <v>132</v>
      </c>
      <c r="AD45">
        <v>1100</v>
      </c>
      <c r="AF45" t="s">
        <v>133</v>
      </c>
      <c r="AG45" t="s">
        <v>134</v>
      </c>
      <c r="AH45" t="s">
        <v>466</v>
      </c>
      <c r="AI45" t="s">
        <v>467</v>
      </c>
      <c r="AJ45" t="str">
        <f>"542 26"</f>
        <v>542 26</v>
      </c>
      <c r="AK45" t="str">
        <f>"203098100419630"</f>
        <v>203098100419630</v>
      </c>
      <c r="AM45" t="s">
        <v>528</v>
      </c>
    </row>
    <row r="46" spans="1:39">
      <c r="A46">
        <v>45</v>
      </c>
      <c r="B46" s="24">
        <v>44821</v>
      </c>
      <c r="C46">
        <v>45</v>
      </c>
      <c r="E46">
        <v>2</v>
      </c>
      <c r="F46" t="s">
        <v>117</v>
      </c>
      <c r="G46" t="s">
        <v>118</v>
      </c>
      <c r="H46" t="s">
        <v>529</v>
      </c>
      <c r="I46" t="s">
        <v>39</v>
      </c>
      <c r="J46" t="s">
        <v>530</v>
      </c>
      <c r="L46" s="24">
        <v>44428</v>
      </c>
      <c r="M46" t="s">
        <v>531</v>
      </c>
      <c r="N46" t="s">
        <v>532</v>
      </c>
      <c r="O46" t="s">
        <v>533</v>
      </c>
      <c r="P46" t="s">
        <v>534</v>
      </c>
      <c r="R46" t="s">
        <v>145</v>
      </c>
      <c r="S46" t="s">
        <v>146</v>
      </c>
      <c r="T46" t="s">
        <v>6</v>
      </c>
      <c r="U46" t="s">
        <v>162</v>
      </c>
      <c r="V46" t="s">
        <v>535</v>
      </c>
      <c r="X46" t="s">
        <v>536</v>
      </c>
      <c r="Y46">
        <v>1</v>
      </c>
      <c r="Z46" t="s">
        <v>130</v>
      </c>
      <c r="AA46" t="s">
        <v>537</v>
      </c>
      <c r="AB46" t="s">
        <v>132</v>
      </c>
      <c r="AD46">
        <v>800</v>
      </c>
      <c r="AF46" t="s">
        <v>133</v>
      </c>
      <c r="AG46" t="s">
        <v>151</v>
      </c>
      <c r="AH46" t="s">
        <v>538</v>
      </c>
      <c r="AI46" t="s">
        <v>539</v>
      </c>
      <c r="AJ46" t="str">
        <f>"78345"</f>
        <v>78345</v>
      </c>
      <c r="AK46" t="str">
        <f>"953010004656562"</f>
        <v>953010004656562</v>
      </c>
      <c r="AM46" t="s">
        <v>540</v>
      </c>
    </row>
    <row r="47" spans="1:39">
      <c r="A47">
        <v>46</v>
      </c>
      <c r="B47" s="24">
        <v>44821</v>
      </c>
      <c r="C47">
        <v>46</v>
      </c>
      <c r="E47">
        <v>2</v>
      </c>
      <c r="F47" t="s">
        <v>117</v>
      </c>
      <c r="G47" t="s">
        <v>118</v>
      </c>
      <c r="H47" t="s">
        <v>541</v>
      </c>
      <c r="I47" t="s">
        <v>542</v>
      </c>
      <c r="J47" t="s">
        <v>543</v>
      </c>
      <c r="L47" s="24">
        <v>44092</v>
      </c>
      <c r="M47" t="s">
        <v>544</v>
      </c>
      <c r="N47" t="s">
        <v>545</v>
      </c>
      <c r="O47" t="s">
        <v>546</v>
      </c>
      <c r="P47" t="s">
        <v>547</v>
      </c>
      <c r="R47" t="s">
        <v>145</v>
      </c>
      <c r="S47" t="s">
        <v>146</v>
      </c>
      <c r="T47" t="s">
        <v>9</v>
      </c>
      <c r="U47" t="s">
        <v>127</v>
      </c>
      <c r="V47" t="s">
        <v>535</v>
      </c>
      <c r="X47" t="s">
        <v>536</v>
      </c>
      <c r="Y47">
        <v>1</v>
      </c>
      <c r="Z47" t="s">
        <v>130</v>
      </c>
      <c r="AA47" t="s">
        <v>548</v>
      </c>
      <c r="AB47" t="s">
        <v>132</v>
      </c>
      <c r="AD47">
        <v>600</v>
      </c>
      <c r="AF47" t="s">
        <v>133</v>
      </c>
      <c r="AG47" t="s">
        <v>151</v>
      </c>
      <c r="AH47" t="s">
        <v>549</v>
      </c>
      <c r="AI47" t="s">
        <v>550</v>
      </c>
      <c r="AJ47" t="str">
        <f>"74714"</f>
        <v>74714</v>
      </c>
      <c r="AK47" t="str">
        <f>"941000024684887"</f>
        <v>941000024684887</v>
      </c>
      <c r="AM47" t="s">
        <v>551</v>
      </c>
    </row>
    <row r="48" spans="1:39">
      <c r="A48">
        <v>47</v>
      </c>
      <c r="B48" s="24">
        <v>44821</v>
      </c>
      <c r="C48">
        <v>47</v>
      </c>
      <c r="E48">
        <v>2</v>
      </c>
      <c r="F48" t="s">
        <v>117</v>
      </c>
      <c r="G48" t="s">
        <v>118</v>
      </c>
      <c r="H48" t="s">
        <v>552</v>
      </c>
      <c r="I48" t="s">
        <v>40</v>
      </c>
      <c r="J48" t="s">
        <v>553</v>
      </c>
      <c r="L48" s="24">
        <v>43875</v>
      </c>
      <c r="M48" t="s">
        <v>554</v>
      </c>
      <c r="N48" t="s">
        <v>555</v>
      </c>
      <c r="O48" t="s">
        <v>556</v>
      </c>
      <c r="P48" t="s">
        <v>557</v>
      </c>
      <c r="R48" t="s">
        <v>145</v>
      </c>
      <c r="S48" t="s">
        <v>146</v>
      </c>
      <c r="T48" t="s">
        <v>10</v>
      </c>
      <c r="U48" t="s">
        <v>210</v>
      </c>
      <c r="V48" t="s">
        <v>535</v>
      </c>
      <c r="X48" t="s">
        <v>536</v>
      </c>
      <c r="Y48">
        <v>1</v>
      </c>
      <c r="Z48" t="s">
        <v>130</v>
      </c>
      <c r="AA48" t="s">
        <v>558</v>
      </c>
      <c r="AB48" t="s">
        <v>132</v>
      </c>
      <c r="AD48">
        <v>600</v>
      </c>
      <c r="AF48" t="s">
        <v>133</v>
      </c>
      <c r="AG48" t="s">
        <v>151</v>
      </c>
      <c r="AH48" t="s">
        <v>559</v>
      </c>
      <c r="AI48" t="s">
        <v>560</v>
      </c>
      <c r="AJ48" t="str">
        <f>"58255"</f>
        <v>58255</v>
      </c>
      <c r="AK48" t="str">
        <f>"203164000090093"</f>
        <v>203164000090093</v>
      </c>
      <c r="AM48" t="s">
        <v>561</v>
      </c>
    </row>
    <row r="49" spans="1:39">
      <c r="A49">
        <v>48</v>
      </c>
      <c r="B49" s="24">
        <v>44821</v>
      </c>
      <c r="C49">
        <v>48</v>
      </c>
      <c r="E49">
        <v>2</v>
      </c>
      <c r="F49" t="s">
        <v>117</v>
      </c>
      <c r="G49" t="s">
        <v>118</v>
      </c>
      <c r="H49" t="s">
        <v>562</v>
      </c>
      <c r="I49" t="s">
        <v>40</v>
      </c>
      <c r="J49" t="s">
        <v>563</v>
      </c>
      <c r="L49" s="24">
        <v>43130</v>
      </c>
      <c r="M49" t="s">
        <v>564</v>
      </c>
      <c r="N49" t="s">
        <v>555</v>
      </c>
      <c r="O49" t="s">
        <v>556</v>
      </c>
      <c r="P49" t="s">
        <v>565</v>
      </c>
      <c r="R49" t="s">
        <v>145</v>
      </c>
      <c r="S49" t="s">
        <v>146</v>
      </c>
      <c r="T49" t="s">
        <v>41</v>
      </c>
      <c r="U49" t="s">
        <v>566</v>
      </c>
      <c r="V49" t="s">
        <v>535</v>
      </c>
      <c r="X49" t="s">
        <v>536</v>
      </c>
      <c r="Y49">
        <v>1</v>
      </c>
      <c r="Z49" t="s">
        <v>130</v>
      </c>
      <c r="AA49" t="s">
        <v>567</v>
      </c>
      <c r="AB49" t="s">
        <v>132</v>
      </c>
      <c r="AD49">
        <v>600</v>
      </c>
      <c r="AF49" t="s">
        <v>133</v>
      </c>
      <c r="AG49" t="s">
        <v>151</v>
      </c>
      <c r="AH49" t="s">
        <v>568</v>
      </c>
      <c r="AI49" t="s">
        <v>569</v>
      </c>
      <c r="AJ49" t="str">
        <f>"58255"</f>
        <v>58255</v>
      </c>
      <c r="AK49" t="str">
        <f>"953010002495418"</f>
        <v>953010002495418</v>
      </c>
      <c r="AM49" t="s">
        <v>570</v>
      </c>
    </row>
    <row r="50" spans="1:39">
      <c r="A50">
        <v>49</v>
      </c>
      <c r="B50" s="24">
        <v>44821</v>
      </c>
      <c r="C50">
        <v>49</v>
      </c>
      <c r="E50">
        <v>2</v>
      </c>
      <c r="F50" t="s">
        <v>117</v>
      </c>
      <c r="G50" t="s">
        <v>118</v>
      </c>
      <c r="H50" t="s">
        <v>571</v>
      </c>
      <c r="I50" t="s">
        <v>572</v>
      </c>
      <c r="J50" t="s">
        <v>573</v>
      </c>
      <c r="L50" s="24">
        <v>44666</v>
      </c>
      <c r="M50" t="s">
        <v>574</v>
      </c>
      <c r="N50" t="s">
        <v>575</v>
      </c>
      <c r="O50" t="s">
        <v>576</v>
      </c>
      <c r="P50" t="s">
        <v>534</v>
      </c>
      <c r="R50" t="s">
        <v>125</v>
      </c>
      <c r="S50" t="s">
        <v>126</v>
      </c>
      <c r="T50" t="s">
        <v>22</v>
      </c>
      <c r="U50" t="s">
        <v>294</v>
      </c>
      <c r="V50" t="s">
        <v>535</v>
      </c>
      <c r="X50" t="s">
        <v>536</v>
      </c>
      <c r="Y50">
        <v>1</v>
      </c>
      <c r="Z50" t="s">
        <v>130</v>
      </c>
      <c r="AA50" t="s">
        <v>537</v>
      </c>
      <c r="AB50" t="s">
        <v>132</v>
      </c>
      <c r="AD50">
        <v>800</v>
      </c>
      <c r="AF50" t="s">
        <v>133</v>
      </c>
      <c r="AG50" t="s">
        <v>134</v>
      </c>
      <c r="AH50" t="s">
        <v>538</v>
      </c>
      <c r="AI50" t="s">
        <v>539</v>
      </c>
      <c r="AJ50" t="str">
        <f>"78345"</f>
        <v>78345</v>
      </c>
      <c r="AK50" t="str">
        <f>""</f>
        <v/>
      </c>
      <c r="AM50" t="s">
        <v>577</v>
      </c>
    </row>
    <row r="51" spans="1:39">
      <c r="A51">
        <v>50</v>
      </c>
      <c r="B51" s="24">
        <v>44821</v>
      </c>
      <c r="C51">
        <v>50</v>
      </c>
      <c r="E51">
        <v>2</v>
      </c>
      <c r="F51" t="s">
        <v>117</v>
      </c>
      <c r="G51" t="s">
        <v>118</v>
      </c>
      <c r="H51" t="s">
        <v>578</v>
      </c>
      <c r="I51" t="s">
        <v>579</v>
      </c>
      <c r="J51" t="s">
        <v>580</v>
      </c>
      <c r="L51" s="24">
        <v>44185</v>
      </c>
      <c r="M51" t="s">
        <v>570</v>
      </c>
      <c r="N51" t="s">
        <v>581</v>
      </c>
      <c r="O51" t="s">
        <v>582</v>
      </c>
      <c r="P51" t="s">
        <v>583</v>
      </c>
      <c r="R51" t="s">
        <v>125</v>
      </c>
      <c r="S51" t="s">
        <v>126</v>
      </c>
      <c r="T51" t="s">
        <v>9</v>
      </c>
      <c r="U51" t="s">
        <v>127</v>
      </c>
      <c r="V51" t="s">
        <v>535</v>
      </c>
      <c r="X51" t="s">
        <v>536</v>
      </c>
      <c r="Y51">
        <v>1</v>
      </c>
      <c r="Z51" t="s">
        <v>130</v>
      </c>
      <c r="AA51" t="s">
        <v>584</v>
      </c>
      <c r="AB51" t="s">
        <v>132</v>
      </c>
      <c r="AD51">
        <v>600</v>
      </c>
      <c r="AF51" t="s">
        <v>133</v>
      </c>
      <c r="AG51" t="s">
        <v>134</v>
      </c>
      <c r="AH51" t="s">
        <v>585</v>
      </c>
      <c r="AI51" t="s">
        <v>586</v>
      </c>
      <c r="AJ51" t="str">
        <f>"78313"</f>
        <v>78313</v>
      </c>
      <c r="AK51" t="str">
        <f>"945000002331041"</f>
        <v>945000002331041</v>
      </c>
      <c r="AM51" t="s">
        <v>587</v>
      </c>
    </row>
    <row r="52" spans="1:39">
      <c r="A52">
        <v>51</v>
      </c>
      <c r="B52" s="24">
        <v>44821</v>
      </c>
      <c r="C52">
        <v>51</v>
      </c>
      <c r="E52">
        <v>2</v>
      </c>
      <c r="F52" t="s">
        <v>117</v>
      </c>
      <c r="G52" t="s">
        <v>118</v>
      </c>
      <c r="H52" t="s">
        <v>588</v>
      </c>
      <c r="I52" t="s">
        <v>42</v>
      </c>
      <c r="J52" t="s">
        <v>589</v>
      </c>
      <c r="L52" s="24">
        <v>44034</v>
      </c>
      <c r="M52" t="s">
        <v>590</v>
      </c>
      <c r="N52" t="s">
        <v>591</v>
      </c>
      <c r="O52" t="s">
        <v>592</v>
      </c>
      <c r="P52" t="s">
        <v>593</v>
      </c>
      <c r="R52" t="s">
        <v>125</v>
      </c>
      <c r="S52" t="s">
        <v>126</v>
      </c>
      <c r="T52" t="s">
        <v>10</v>
      </c>
      <c r="U52" t="s">
        <v>210</v>
      </c>
      <c r="V52" t="s">
        <v>535</v>
      </c>
      <c r="X52" t="s">
        <v>536</v>
      </c>
      <c r="Y52">
        <v>1</v>
      </c>
      <c r="Z52" t="s">
        <v>130</v>
      </c>
      <c r="AA52" t="s">
        <v>594</v>
      </c>
      <c r="AB52" t="s">
        <v>132</v>
      </c>
      <c r="AD52">
        <v>600</v>
      </c>
      <c r="AF52" t="s">
        <v>133</v>
      </c>
      <c r="AG52" t="s">
        <v>134</v>
      </c>
      <c r="AH52" t="s">
        <v>595</v>
      </c>
      <c r="AI52" t="s">
        <v>596</v>
      </c>
      <c r="AJ52" t="str">
        <f>"664 43"</f>
        <v>664 43</v>
      </c>
      <c r="AK52" t="str">
        <f>"941000024822685"</f>
        <v>941000024822685</v>
      </c>
      <c r="AM52" t="s">
        <v>597</v>
      </c>
    </row>
    <row r="53" spans="1:39">
      <c r="A53">
        <v>52</v>
      </c>
      <c r="B53" s="24">
        <v>44821</v>
      </c>
      <c r="C53">
        <v>52</v>
      </c>
      <c r="E53">
        <v>2</v>
      </c>
      <c r="F53" t="s">
        <v>117</v>
      </c>
      <c r="G53" t="s">
        <v>118</v>
      </c>
      <c r="H53" t="s">
        <v>598</v>
      </c>
      <c r="I53" t="s">
        <v>38</v>
      </c>
      <c r="J53" t="s">
        <v>599</v>
      </c>
      <c r="L53" s="24">
        <v>44374</v>
      </c>
      <c r="M53" t="s">
        <v>600</v>
      </c>
      <c r="N53" t="s">
        <v>601</v>
      </c>
      <c r="O53" t="s">
        <v>602</v>
      </c>
      <c r="P53" t="s">
        <v>603</v>
      </c>
      <c r="R53" t="s">
        <v>125</v>
      </c>
      <c r="S53" t="s">
        <v>126</v>
      </c>
      <c r="T53" t="s">
        <v>6</v>
      </c>
      <c r="U53" t="s">
        <v>162</v>
      </c>
      <c r="V53" t="s">
        <v>604</v>
      </c>
      <c r="X53" t="s">
        <v>605</v>
      </c>
      <c r="Y53">
        <v>1</v>
      </c>
      <c r="Z53" t="s">
        <v>130</v>
      </c>
      <c r="AA53" t="s">
        <v>606</v>
      </c>
      <c r="AB53" t="s">
        <v>132</v>
      </c>
      <c r="AD53">
        <v>600</v>
      </c>
      <c r="AF53" t="s">
        <v>133</v>
      </c>
      <c r="AG53" t="s">
        <v>134</v>
      </c>
      <c r="AH53" t="s">
        <v>607</v>
      </c>
      <c r="AI53" t="s">
        <v>608</v>
      </c>
      <c r="AJ53" t="str">
        <f>"67905"</f>
        <v>67905</v>
      </c>
      <c r="AK53" t="str">
        <f>"203098100576547"</f>
        <v>203098100576547</v>
      </c>
      <c r="AM53" t="s">
        <v>609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Povýstavní katalog</vt:lpstr>
      <vt:lpstr>Souhrn</vt:lpstr>
      <vt:lpstr>CSV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Zákoutský</dc:creator>
  <cp:lastModifiedBy>Josef Zákoutský</cp:lastModifiedBy>
  <cp:lastPrinted>2022-09-18T10:17:07Z</cp:lastPrinted>
  <dcterms:created xsi:type="dcterms:W3CDTF">2022-05-21T16:50:07Z</dcterms:created>
  <dcterms:modified xsi:type="dcterms:W3CDTF">2022-09-18T11:23:11Z</dcterms:modified>
</cp:coreProperties>
</file>